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8" activeTab="0"/>
  </bookViews>
  <sheets>
    <sheet name="Assumptions" sheetId="1" r:id="rId1"/>
    <sheet name="Project 1" sheetId="2" r:id="rId2"/>
    <sheet name="Project 2" sheetId="3" r:id="rId3"/>
    <sheet name="Project 3" sheetId="4" r:id="rId4"/>
    <sheet name="Project 4" sheetId="5" r:id="rId5"/>
    <sheet name="Project 5" sheetId="6" r:id="rId6"/>
    <sheet name="Summary" sheetId="7" r:id="rId7"/>
  </sheets>
  <definedNames/>
  <calcPr fullCalcOnLoad="1"/>
</workbook>
</file>

<file path=xl/sharedStrings.xml><?xml version="1.0" encoding="utf-8"?>
<sst xmlns="http://schemas.openxmlformats.org/spreadsheetml/2006/main" count="119" uniqueCount="50">
  <si>
    <t>Assumptions</t>
  </si>
  <si>
    <t>Summary of Results</t>
  </si>
  <si>
    <t>Initial Investment</t>
  </si>
  <si>
    <t>Draw Starts</t>
  </si>
  <si>
    <t>Year</t>
  </si>
  <si>
    <t>Ending Balance</t>
  </si>
  <si>
    <t>Down Payment</t>
  </si>
  <si>
    <t>Starting Draw</t>
  </si>
  <si>
    <t>Mortgage Term, Years</t>
  </si>
  <si>
    <t>Increase Rate</t>
  </si>
  <si>
    <t>Inflation Rate</t>
  </si>
  <si>
    <t>Starting Year</t>
  </si>
  <si>
    <t>Expenses, % of rent</t>
  </si>
  <si>
    <t>Average Occupancy</t>
  </si>
  <si>
    <t>Annual rent increase</t>
  </si>
  <si>
    <t>Projects</t>
  </si>
  <si>
    <t>Year Begun</t>
  </si>
  <si>
    <t>Year Rented</t>
  </si>
  <si>
    <t>Cost</t>
  </si>
  <si>
    <t>Interest Rate</t>
  </si>
  <si>
    <t>Units</t>
  </si>
  <si>
    <t>Starting Monthly Rent / Unit</t>
  </si>
  <si>
    <t>First year mortgage payment, % of annual total</t>
  </si>
  <si>
    <t>Borrow from previous project to fund down payment?</t>
  </si>
  <si>
    <t>Y</t>
  </si>
  <si>
    <t>Computations</t>
  </si>
  <si>
    <t>Annual mortgage payment</t>
  </si>
  <si>
    <t>Mortgage balance after funding next project's down payment</t>
  </si>
  <si>
    <t>New mortgage payment after funding next project's down payment</t>
  </si>
  <si>
    <t xml:space="preserve">Mortgage </t>
  </si>
  <si>
    <t>Cash Flow</t>
  </si>
  <si>
    <t>B Bal</t>
  </si>
  <si>
    <t>Next Project Down Payment</t>
  </si>
  <si>
    <t>Payment</t>
  </si>
  <si>
    <t>Prin</t>
  </si>
  <si>
    <t>Int</t>
  </si>
  <si>
    <t>E Bal</t>
  </si>
  <si>
    <t>Rent</t>
  </si>
  <si>
    <t>Expenses</t>
  </si>
  <si>
    <t>Mortgage Payment</t>
  </si>
  <si>
    <t>Totals</t>
  </si>
  <si>
    <t>Previous Project's Equity</t>
  </si>
  <si>
    <t>Project Cash Flow</t>
  </si>
  <si>
    <t>Balance Sheet</t>
  </si>
  <si>
    <t>Draw</t>
  </si>
  <si>
    <t>Cash</t>
  </si>
  <si>
    <t>Buildings</t>
  </si>
  <si>
    <t>Total Assets</t>
  </si>
  <si>
    <t>Liabilities</t>
  </si>
  <si>
    <t>Equity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</si>
</sst>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$-409]#,##0;\-[$$-409]#,##0"/>
    <numFmt numFmtId="166" formatCode="0%"/>
    <numFmt numFmtId="167" formatCode="#,##0\ ;&quot; (&quot;#,##0\);&quot; -&quot;#\ ;@\ "/>
    <numFmt numFmtId="168" formatCode="0.0%"/>
    <numFmt numFmtId="169" formatCode="0.00%"/>
    <numFmt numFmtId="170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left"/>
    </xf>
    <xf numFmtId="165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 wrapText="1"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center"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 wrapText="1"/>
    </xf>
    <xf numFmtId="170" fontId="0" fillId="0" borderId="0" xfId="0" applyNumberFormat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7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workbookViewId="0" topLeftCell="A1">
      <selection activeCell="A19" sqref="A19"/>
    </sheetView>
  </sheetViews>
  <sheetFormatPr defaultColWidth="12.57421875" defaultRowHeight="12.75"/>
  <cols>
    <col min="1" max="1" width="24.8515625" style="0" customWidth="1"/>
    <col min="2" max="2" width="11.57421875" style="0" customWidth="1"/>
    <col min="3" max="3" width="12.8515625" style="0" customWidth="1"/>
    <col min="4" max="4" width="12.57421875" style="0" customWidth="1"/>
    <col min="5" max="5" width="13.140625" style="0" customWidth="1"/>
    <col min="6" max="6" width="11.57421875" style="0" customWidth="1"/>
    <col min="7" max="7" width="0.71875" style="0" customWidth="1"/>
    <col min="8" max="16384" width="11.57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H1" s="1" t="s">
        <v>1</v>
      </c>
      <c r="I1" s="1"/>
    </row>
    <row r="2" spans="1:9" ht="12.75">
      <c r="A2" s="2" t="s">
        <v>2</v>
      </c>
      <c r="B2" s="3">
        <v>150000</v>
      </c>
      <c r="D2" t="s">
        <v>3</v>
      </c>
      <c r="E2" s="4">
        <v>2025</v>
      </c>
      <c r="H2" s="5" t="s">
        <v>4</v>
      </c>
      <c r="I2" s="6" t="s">
        <v>5</v>
      </c>
    </row>
    <row r="3" spans="1:9" ht="12.75">
      <c r="A3" t="s">
        <v>6</v>
      </c>
      <c r="B3" s="7">
        <v>0.2</v>
      </c>
      <c r="D3" t="s">
        <v>7</v>
      </c>
      <c r="E3" s="8">
        <v>500000</v>
      </c>
      <c r="H3" s="9">
        <f>B6</f>
        <v>2016</v>
      </c>
      <c r="I3" s="10">
        <f>Summary!J3</f>
        <v>33951.48256186175</v>
      </c>
    </row>
    <row r="4" spans="1:9" ht="12.75">
      <c r="A4" t="s">
        <v>8</v>
      </c>
      <c r="B4">
        <v>20</v>
      </c>
      <c r="D4" t="s">
        <v>9</v>
      </c>
      <c r="E4" s="11">
        <v>0.1</v>
      </c>
      <c r="H4" s="9">
        <f>H3+1</f>
        <v>2017</v>
      </c>
      <c r="I4" s="10">
        <f>Summary!J4</f>
        <v>83934.44768558523</v>
      </c>
    </row>
    <row r="5" spans="1:9" ht="12.75">
      <c r="A5" t="s">
        <v>10</v>
      </c>
      <c r="B5" s="12">
        <v>0.033</v>
      </c>
      <c r="H5" s="9">
        <f>H4+1</f>
        <v>2018</v>
      </c>
      <c r="I5" s="10">
        <f>Summary!J5</f>
        <v>104549.68079533544</v>
      </c>
    </row>
    <row r="6" spans="1:9" ht="12.75">
      <c r="A6" t="s">
        <v>11</v>
      </c>
      <c r="B6" s="13">
        <v>2016</v>
      </c>
      <c r="H6" s="9">
        <f>H5+1</f>
        <v>2019</v>
      </c>
      <c r="I6" s="10">
        <f>Summary!J6</f>
        <v>226118.89100179586</v>
      </c>
    </row>
    <row r="7" spans="1:9" ht="12.75">
      <c r="A7" t="s">
        <v>12</v>
      </c>
      <c r="B7" s="12">
        <v>0.4</v>
      </c>
      <c r="H7" s="9">
        <f>H6+1</f>
        <v>2020</v>
      </c>
      <c r="I7" s="10">
        <f>Summary!J7</f>
        <v>315802.4827198306</v>
      </c>
    </row>
    <row r="8" spans="1:9" ht="12.75">
      <c r="A8" t="s">
        <v>13</v>
      </c>
      <c r="B8" s="12">
        <v>0.95</v>
      </c>
      <c r="H8" s="9">
        <f>H7+1</f>
        <v>2021</v>
      </c>
      <c r="I8" s="10">
        <f>Summary!J8</f>
        <v>563479.7828331125</v>
      </c>
    </row>
    <row r="9" spans="1:9" ht="12.75">
      <c r="A9" t="s">
        <v>14</v>
      </c>
      <c r="B9" s="12">
        <v>0.05</v>
      </c>
      <c r="H9" s="9">
        <f>H8+1</f>
        <v>2022</v>
      </c>
      <c r="I9" s="10">
        <f>Summary!J9</f>
        <v>778783.6582517206</v>
      </c>
    </row>
    <row r="10" spans="2:9" ht="12.75">
      <c r="B10" s="1" t="s">
        <v>15</v>
      </c>
      <c r="C10" s="1"/>
      <c r="D10" s="1"/>
      <c r="E10" s="1"/>
      <c r="F10" s="1"/>
      <c r="H10" s="9">
        <f>H9+1</f>
        <v>2023</v>
      </c>
      <c r="I10" s="10">
        <f>Summary!J10</f>
        <v>1435410.930365895</v>
      </c>
    </row>
    <row r="11" spans="2:9" ht="12.75">
      <c r="B11" s="5">
        <v>1</v>
      </c>
      <c r="C11" s="5">
        <v>2</v>
      </c>
      <c r="D11" s="5">
        <v>3</v>
      </c>
      <c r="E11" s="5">
        <v>4</v>
      </c>
      <c r="F11" s="5">
        <v>5</v>
      </c>
      <c r="H11" s="9">
        <f>H10+1</f>
        <v>2024</v>
      </c>
      <c r="I11" s="10">
        <f>Summary!J11</f>
        <v>1985255.8642649641</v>
      </c>
    </row>
    <row r="12" spans="1:9" ht="12.75">
      <c r="A12" t="s">
        <v>16</v>
      </c>
      <c r="B12" s="9">
        <v>2016</v>
      </c>
      <c r="C12" s="9">
        <v>2018</v>
      </c>
      <c r="D12" s="9">
        <v>2020</v>
      </c>
      <c r="E12" s="9">
        <v>2022</v>
      </c>
      <c r="F12" s="9">
        <v>2024</v>
      </c>
      <c r="H12" s="9">
        <f>H11+1</f>
        <v>2025</v>
      </c>
      <c r="I12" s="10">
        <f>Summary!J12</f>
        <v>3152490.8087891825</v>
      </c>
    </row>
    <row r="13" spans="1:9" ht="12.75">
      <c r="A13" t="s">
        <v>17</v>
      </c>
      <c r="B13" s="9">
        <v>2017</v>
      </c>
      <c r="C13" s="9">
        <v>2019</v>
      </c>
      <c r="D13" s="9">
        <v>2021</v>
      </c>
      <c r="E13" s="9">
        <v>2023</v>
      </c>
      <c r="F13" s="9">
        <v>2025</v>
      </c>
      <c r="H13" s="9">
        <f>H12+1</f>
        <v>2026</v>
      </c>
      <c r="I13" s="10">
        <f>Summary!J13</f>
        <v>4379752.85147068</v>
      </c>
    </row>
    <row r="14" spans="1:9" ht="12.75">
      <c r="A14" t="s">
        <v>18</v>
      </c>
      <c r="B14" s="3">
        <v>500000</v>
      </c>
      <c r="C14" s="3">
        <v>1000000</v>
      </c>
      <c r="D14" s="3">
        <v>1250000</v>
      </c>
      <c r="E14" s="3">
        <v>1500000</v>
      </c>
      <c r="F14" s="3">
        <v>2000000</v>
      </c>
      <c r="H14" s="9">
        <f>H13+1</f>
        <v>2027</v>
      </c>
      <c r="I14" s="10">
        <f>Summary!J14</f>
        <v>5667543.34721732</v>
      </c>
    </row>
    <row r="15" spans="1:9" ht="12.75">
      <c r="A15" t="s">
        <v>19</v>
      </c>
      <c r="B15" s="14">
        <v>0.05</v>
      </c>
      <c r="C15" s="14">
        <v>0.055</v>
      </c>
      <c r="D15" s="14">
        <v>0.06</v>
      </c>
      <c r="E15" s="14">
        <v>0.0675</v>
      </c>
      <c r="F15" s="14">
        <v>0.075</v>
      </c>
      <c r="H15" s="9">
        <f>H14+1</f>
        <v>2028</v>
      </c>
      <c r="I15" s="10">
        <f>Summary!J15</f>
        <v>7016138.718682361</v>
      </c>
    </row>
    <row r="16" spans="1:9" ht="12.75">
      <c r="A16" t="s">
        <v>20</v>
      </c>
      <c r="B16">
        <v>10</v>
      </c>
      <c r="C16">
        <v>15</v>
      </c>
      <c r="D16">
        <v>20</v>
      </c>
      <c r="E16">
        <v>40</v>
      </c>
      <c r="F16">
        <v>80</v>
      </c>
      <c r="H16" s="9">
        <f>H15+1</f>
        <v>2029</v>
      </c>
      <c r="I16" s="10">
        <f>Summary!J16</f>
        <v>8425554.209651722</v>
      </c>
    </row>
    <row r="17" spans="1:9" ht="12.75">
      <c r="A17" t="s">
        <v>21</v>
      </c>
      <c r="B17" s="3">
        <v>1200</v>
      </c>
      <c r="C17" s="3">
        <v>1400</v>
      </c>
      <c r="D17" s="3">
        <v>1500</v>
      </c>
      <c r="E17" s="3">
        <v>1800</v>
      </c>
      <c r="F17" s="3">
        <v>2000</v>
      </c>
      <c r="H17" s="9">
        <f>H16+1</f>
        <v>2030</v>
      </c>
      <c r="I17" s="10">
        <f>Summary!J17</f>
        <v>9895503.32610062</v>
      </c>
    </row>
    <row r="18" spans="1:9" ht="12.75">
      <c r="A18" s="15" t="s">
        <v>22</v>
      </c>
      <c r="B18" s="7">
        <v>0.5</v>
      </c>
      <c r="C18" s="7">
        <v>0.5</v>
      </c>
      <c r="D18" s="7">
        <v>0.5</v>
      </c>
      <c r="E18" s="7">
        <v>0.5</v>
      </c>
      <c r="F18" s="7">
        <v>1</v>
      </c>
      <c r="H18" s="9">
        <f>H17+1</f>
        <v>2031</v>
      </c>
      <c r="I18" s="10">
        <f>Summary!J18</f>
        <v>11425352.49930303</v>
      </c>
    </row>
    <row r="19" spans="1:9" ht="12.75">
      <c r="A19" s="15" t="s">
        <v>23</v>
      </c>
      <c r="C19" s="9" t="s">
        <v>24</v>
      </c>
      <c r="D19" s="9" t="s">
        <v>24</v>
      </c>
      <c r="E19" s="9" t="s">
        <v>24</v>
      </c>
      <c r="F19" s="9" t="s">
        <v>24</v>
      </c>
      <c r="H19" s="9">
        <f>H18+1</f>
        <v>2032</v>
      </c>
      <c r="I19" s="10">
        <f>Summary!J19</f>
        <v>13014070.457096629</v>
      </c>
    </row>
    <row r="20" spans="8:9" ht="12.75">
      <c r="H20" s="9">
        <f>H19+1</f>
        <v>2033</v>
      </c>
      <c r="I20" s="10">
        <f>Summary!J20</f>
        <v>14660171.736210976</v>
      </c>
    </row>
    <row r="21" spans="1:9" ht="12.75">
      <c r="A21" s="1" t="s">
        <v>25</v>
      </c>
      <c r="B21" s="1"/>
      <c r="C21" s="1"/>
      <c r="D21" s="1"/>
      <c r="E21" s="1"/>
      <c r="F21" s="1"/>
      <c r="H21" s="9">
        <f>H20+1</f>
        <v>2034</v>
      </c>
      <c r="I21" s="10">
        <f>Summary!J21</f>
        <v>16361653.709962107</v>
      </c>
    </row>
    <row r="22" spans="1:9" ht="12.75">
      <c r="A22" t="s">
        <v>26</v>
      </c>
      <c r="B22" s="3">
        <f>-PMT(B15,$B4,B14*(1-$B3))</f>
        <v>32097.03487627652</v>
      </c>
      <c r="C22" s="3">
        <f>-PMT(C15,$B4,C14*(1-$B3))</f>
        <v>66943.46402794654</v>
      </c>
      <c r="D22" s="3">
        <f>-PMT(D15,$B4,D14*(1-$B3))</f>
        <v>87184.55697685145</v>
      </c>
      <c r="E22" s="3">
        <f>-PMT(E15,$B4,E14*(1-$B3))</f>
        <v>111080.0346893478</v>
      </c>
      <c r="F22" s="3">
        <f>-PMT(F15,$B4,F14*(1-$B3))</f>
        <v>156947.50661173023</v>
      </c>
      <c r="H22" s="9">
        <f>H21+1</f>
        <v>2035</v>
      </c>
      <c r="I22" s="10">
        <f>Summary!J22</f>
        <v>18115926.441056866</v>
      </c>
    </row>
    <row r="23" spans="1:9" ht="12.75">
      <c r="A23" s="15" t="s">
        <v>27</v>
      </c>
      <c r="B23" s="3">
        <f>VLOOKUP(C12,'Project 1'!$A3:$G37,7,0)</f>
        <v>568532.5880280858</v>
      </c>
      <c r="C23" s="3">
        <f>VLOOKUP(D12,'Project 2'!$A3:$G37,7,0)</f>
        <v>990082.8568977172</v>
      </c>
      <c r="D23" s="3">
        <f>VLOOKUP(E12,'Project 3'!$A3:$G37,7,0)</f>
        <v>1228727.5285180907</v>
      </c>
      <c r="E23" s="3">
        <f>VLOOKUP(F12,'Project 4'!$A3:$G37,7,0)</f>
        <v>1520670.582514542</v>
      </c>
      <c r="H23" s="9">
        <f>H22+1</f>
        <v>2036</v>
      </c>
      <c r="I23" s="10">
        <f>Summary!J23</f>
        <v>19919734.59813493</v>
      </c>
    </row>
    <row r="24" spans="1:9" ht="12.75">
      <c r="A24" s="15" t="s">
        <v>28</v>
      </c>
      <c r="B24" s="3">
        <f>-PMT(B15,$B$4,B23)</f>
        <v>45620.52576559306</v>
      </c>
      <c r="C24" s="3">
        <f>-PMT(C15,$B$4,C23)</f>
        <v>82849.47014427358</v>
      </c>
      <c r="D24" s="3">
        <f>-PMT(D15,$B$4,D23)</f>
        <v>107126.06521911133</v>
      </c>
      <c r="E24" s="3">
        <f>-PMT(E15,$B$4,E23)</f>
        <v>140763.45088065503</v>
      </c>
      <c r="H24" s="9">
        <f>H23+1</f>
        <v>2037</v>
      </c>
      <c r="I24" s="10">
        <f>Summary!J24</f>
        <v>21769070.596345216</v>
      </c>
    </row>
    <row r="25" spans="8:9" ht="12.75">
      <c r="H25" s="9">
        <f>H24+1</f>
        <v>2038</v>
      </c>
      <c r="I25" s="10">
        <f>Summary!J25</f>
        <v>23659078.03597906</v>
      </c>
    </row>
    <row r="26" spans="8:9" ht="12.75">
      <c r="H26" s="9">
        <f>H25+1</f>
        <v>2039</v>
      </c>
      <c r="I26" s="10">
        <f>Summary!J26</f>
        <v>25629564.943931427</v>
      </c>
    </row>
    <row r="27" spans="8:9" ht="12.75">
      <c r="H27" s="9">
        <f>H26+1</f>
        <v>2040</v>
      </c>
      <c r="I27" s="10">
        <f>Summary!J27</f>
        <v>27628023.063528392</v>
      </c>
    </row>
    <row r="28" spans="8:9" ht="12.75">
      <c r="H28" s="9">
        <f>H27+1</f>
        <v>2041</v>
      </c>
      <c r="I28" s="10">
        <f>Summary!J28</f>
        <v>29729206.679656874</v>
      </c>
    </row>
    <row r="29" spans="8:9" ht="12.75">
      <c r="H29" s="9">
        <f>H28+1</f>
        <v>2042</v>
      </c>
      <c r="I29" s="10">
        <f>Summary!J29</f>
        <v>31840817.003068425</v>
      </c>
    </row>
    <row r="30" spans="8:9" ht="12.75">
      <c r="H30" s="9">
        <f>H29+1</f>
        <v>2043</v>
      </c>
      <c r="I30" s="10">
        <f>Summary!J30</f>
        <v>34059014.001880415</v>
      </c>
    </row>
    <row r="31" spans="8:9" ht="12.75">
      <c r="H31" s="9">
        <f>H30+1</f>
        <v>2044</v>
      </c>
      <c r="I31" s="10">
        <f>Summary!J31</f>
        <v>36420955.97228205</v>
      </c>
    </row>
    <row r="32" spans="8:9" ht="12.75">
      <c r="H32" s="9">
        <f>H31+1</f>
        <v>2045</v>
      </c>
      <c r="I32" s="10">
        <f>Summary!J32</f>
        <v>38895898.93850742</v>
      </c>
    </row>
    <row r="33" spans="8:9" ht="12.75">
      <c r="H33" s="9">
        <f>H32+1</f>
        <v>2046</v>
      </c>
      <c r="I33" s="10">
        <f>Summary!J33</f>
        <v>41326401.55431092</v>
      </c>
    </row>
    <row r="34" spans="8:9" ht="12.75">
      <c r="H34" s="9">
        <f>H33+1</f>
        <v>2047</v>
      </c>
      <c r="I34" s="10">
        <f>Summary!J34</f>
        <v>43693423.052298136</v>
      </c>
    </row>
    <row r="35" spans="8:9" ht="12.75">
      <c r="H35" s="9">
        <f>H34+1</f>
        <v>2048</v>
      </c>
      <c r="I35" s="10">
        <f>Summary!J35</f>
        <v>45975288.75171761</v>
      </c>
    </row>
    <row r="36" spans="8:9" ht="12.75">
      <c r="H36" s="9">
        <f>H35+1</f>
        <v>2049</v>
      </c>
      <c r="I36" s="10">
        <f>Summary!J36</f>
        <v>48147390.17529425</v>
      </c>
    </row>
    <row r="37" spans="8:9" ht="12.75">
      <c r="H37" s="9">
        <f>H36+1</f>
        <v>2050</v>
      </c>
      <c r="I37" s="10">
        <f>Summary!J37</f>
        <v>50181853.35315453</v>
      </c>
    </row>
  </sheetData>
  <sheetProtection selectLockedCells="1" selectUnlockedCells="1"/>
  <mergeCells count="4">
    <mergeCell ref="A1:F1"/>
    <mergeCell ref="H1:I1"/>
    <mergeCell ref="B10:F10"/>
    <mergeCell ref="A21:F2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Zeros="0" workbookViewId="0" topLeftCell="B1">
      <pane ySplit="2" topLeftCell="A3" activePane="bottomLeft" state="frozen"/>
      <selection pane="topLeft" activeCell="B1" sqref="B1"/>
      <selection pane="bottomLeft" activeCell="F3" sqref="F3"/>
    </sheetView>
  </sheetViews>
  <sheetFormatPr defaultColWidth="12.57421875" defaultRowHeight="12.75"/>
  <cols>
    <col min="1" max="1" width="7.7109375" style="16" customWidth="1"/>
    <col min="2" max="7" width="11.57421875" style="10" customWidth="1"/>
    <col min="8" max="8" width="0.71875" style="10" customWidth="1"/>
    <col min="9" max="16384" width="11.57421875" style="10" customWidth="1"/>
  </cols>
  <sheetData>
    <row r="1" spans="2:13" ht="12.75">
      <c r="B1" s="17" t="s">
        <v>29</v>
      </c>
      <c r="C1" s="17"/>
      <c r="D1" s="17"/>
      <c r="E1" s="17"/>
      <c r="F1" s="17"/>
      <c r="G1" s="17"/>
      <c r="I1" s="17" t="s">
        <v>30</v>
      </c>
      <c r="J1" s="17"/>
      <c r="K1" s="17"/>
      <c r="L1" s="17"/>
      <c r="M1" s="17"/>
    </row>
    <row r="2" spans="1:13" ht="12.75">
      <c r="A2" s="18" t="s">
        <v>4</v>
      </c>
      <c r="B2" s="19" t="s">
        <v>31</v>
      </c>
      <c r="C2" s="20" t="s">
        <v>32</v>
      </c>
      <c r="D2" s="20" t="s">
        <v>33</v>
      </c>
      <c r="E2" s="19" t="s">
        <v>34</v>
      </c>
      <c r="F2" s="19" t="s">
        <v>35</v>
      </c>
      <c r="G2" s="19" t="s">
        <v>36</v>
      </c>
      <c r="H2" s="19"/>
      <c r="I2" s="20" t="s">
        <v>6</v>
      </c>
      <c r="J2" s="19" t="s">
        <v>37</v>
      </c>
      <c r="K2" s="19" t="s">
        <v>38</v>
      </c>
      <c r="L2" s="20" t="s">
        <v>39</v>
      </c>
      <c r="M2" s="20" t="s">
        <v>30</v>
      </c>
    </row>
    <row r="3" spans="1:14" ht="12.75">
      <c r="A3" s="21">
        <f>Assumptions!$H3</f>
        <v>2016</v>
      </c>
      <c r="B3" s="10">
        <f>IF(A3=Assumptions!$B$12,Assumptions!$B$14*(1-Assumptions!$B$3),0)</f>
        <v>400000</v>
      </c>
      <c r="C3" s="10">
        <f>'Project 2'!J3</f>
        <v>0</v>
      </c>
      <c r="D3" s="10">
        <f>IF(B3&lt;1,0,IF(A3=Assumptions!$B$12,Assumptions!$B$18*Assumptions!$B$22,IF(Assumptions!$C$19="Y",IF(A3&gt;Assumptions!$C$12,Assumptions!$B$24,Assumptions!$B$22),Assumptions!$B$22)))</f>
        <v>16048.51743813826</v>
      </c>
      <c r="E3" s="10">
        <f>D3-F3</f>
        <v>6048.51743813826</v>
      </c>
      <c r="F3" s="10">
        <f>IF(B3=0,0,IF(D3&lt;Assumptions!$B$22,Assumptions!$B$18*Assumptions!$B$15*B3,B3*Assumptions!$B$15))</f>
        <v>10000</v>
      </c>
      <c r="G3" s="10">
        <f>B3+C3-E3</f>
        <v>393951.48256186175</v>
      </c>
      <c r="I3" s="10">
        <f>IF(A3=Assumptions!$B$12,-Assumptions!$B$14*Assumptions!$B$3,0)</f>
        <v>-100000</v>
      </c>
      <c r="J3" s="10">
        <f>IF($A3-Assumptions!$B$13&lt;0,0,(Assumptions!$B$17*12*Assumptions!$B$16*Assumptions!$B$8)*(1+Assumptions!$B$9)^($A3-Assumptions!$B$13))</f>
        <v>0</v>
      </c>
      <c r="K3" s="10">
        <f>IF(J3=0,0,-J3*Assumptions!$B$7)</f>
        <v>0</v>
      </c>
      <c r="L3" s="10">
        <f>-D3</f>
        <v>-16048.51743813826</v>
      </c>
      <c r="M3" s="10">
        <f>SUM(I3:K3)-F3-E3</f>
        <v>-116048.51743813825</v>
      </c>
      <c r="N3"/>
    </row>
    <row r="4" spans="1:14" ht="12.75">
      <c r="A4" s="21">
        <f>Assumptions!$H4</f>
        <v>2017</v>
      </c>
      <c r="B4" s="10">
        <f>IF(A4=Assumptions!$B$12,Assumptions!$B$14*(1-Assumptions!$B$3),G3)</f>
        <v>393951.48256186175</v>
      </c>
      <c r="C4" s="10">
        <f>'Project 2'!J4</f>
        <v>0</v>
      </c>
      <c r="D4" s="10">
        <f>IF(B4&lt;1,0,IF(A4=Assumptions!$B$12,Assumptions!$B$18*Assumptions!$B$22,IF(Assumptions!$C$19="Y",IF(A4&gt;Assumptions!$C$12,Assumptions!$B$24,Assumptions!$B$22),Assumptions!$B$22)))</f>
        <v>32097.03487627652</v>
      </c>
      <c r="E4" s="10">
        <f>D4-F4</f>
        <v>12399.460748183432</v>
      </c>
      <c r="F4" s="10">
        <f>IF(B4=0,0,IF(D4&lt;Assumptions!$B$22,Assumptions!$B$18*Assumptions!$B$15*B4,B4*Assumptions!$B$15))</f>
        <v>19697.57412809309</v>
      </c>
      <c r="G4" s="10">
        <f>B4+C4-E4</f>
        <v>381552.0218136783</v>
      </c>
      <c r="I4" s="10">
        <f>IF(A4=Assumptions!$B$12,-Assumptions!$B$14*Assumptions!$B$3,0)</f>
        <v>0</v>
      </c>
      <c r="J4" s="10">
        <f>IF($A4-Assumptions!$B$13&lt;0,0,(Assumptions!$B$17*12*Assumptions!$B$16*Assumptions!$B$8)*(1+Assumptions!$B$9)^($A4-Assumptions!$B$13))</f>
        <v>136800</v>
      </c>
      <c r="K4" s="10">
        <f>IF(J4=0,0,-J4*Assumptions!$B$7)</f>
        <v>-54720</v>
      </c>
      <c r="L4" s="10">
        <f>-D4</f>
        <v>-32097.03487627652</v>
      </c>
      <c r="M4" s="10">
        <f>SUM(I4:K4)-F4-E4</f>
        <v>49982.96512372348</v>
      </c>
      <c r="N4"/>
    </row>
    <row r="5" spans="1:14" ht="12.75">
      <c r="A5" s="21">
        <f>Assumptions!$H5</f>
        <v>2018</v>
      </c>
      <c r="B5" s="10">
        <f>IF(A5=Assumptions!$B$12,Assumptions!$B$14*(1-Assumptions!$B$3),G4)</f>
        <v>381552.0218136783</v>
      </c>
      <c r="C5" s="10">
        <f>'Project 2'!J5</f>
        <v>200000</v>
      </c>
      <c r="D5" s="10">
        <f>IF(B5&lt;1,0,IF(A5=Assumptions!$B$12,Assumptions!$B$18*Assumptions!$B$22,IF(Assumptions!$C$19="Y",IF(A5&gt;Assumptions!$C$12,Assumptions!$B$24,Assumptions!$B$22),Assumptions!$B$22)))</f>
        <v>32097.03487627652</v>
      </c>
      <c r="E5" s="10">
        <f>D5-F5</f>
        <v>13019.433785592602</v>
      </c>
      <c r="F5" s="10">
        <f>IF(B5=0,0,IF(D5&lt;Assumptions!$B$22,Assumptions!$B$18*Assumptions!$B$15*B5,B5*Assumptions!$B$15))</f>
        <v>19077.60109068392</v>
      </c>
      <c r="G5" s="10">
        <f>B5+C5-E5</f>
        <v>568532.5880280858</v>
      </c>
      <c r="I5" s="10">
        <f>IF(A5=Assumptions!$B$12,-Assumptions!$B$14*Assumptions!$B$3,0)</f>
        <v>0</v>
      </c>
      <c r="J5" s="10">
        <f>IF($A5-Assumptions!$B$13&lt;0,0,(Assumptions!$B$17*12*Assumptions!$B$16*Assumptions!$B$8)*(1+Assumptions!$B$9)^($A5-Assumptions!$B$13))</f>
        <v>143640</v>
      </c>
      <c r="K5" s="10">
        <f>IF(J5=0,0,-J5*Assumptions!$B$7)</f>
        <v>-57456</v>
      </c>
      <c r="L5" s="10">
        <f>-D5</f>
        <v>-32097.03487627652</v>
      </c>
      <c r="M5" s="10">
        <f>SUM(I5:L5)</f>
        <v>54086.96512372348</v>
      </c>
      <c r="N5"/>
    </row>
    <row r="6" spans="1:14" ht="12.75">
      <c r="A6" s="21">
        <f>Assumptions!$H6</f>
        <v>2019</v>
      </c>
      <c r="B6" s="10">
        <f>IF(A6=Assumptions!$B$12,Assumptions!$B$14*(1-Assumptions!$B$3),G5)</f>
        <v>568532.5880280858</v>
      </c>
      <c r="C6" s="10">
        <f>'Project 2'!J6</f>
        <v>0</v>
      </c>
      <c r="D6" s="10">
        <f>IF(B6&lt;1,0,IF(A6=Assumptions!$B$12,Assumptions!$B$18*Assumptions!$B$22,IF(Assumptions!$C$19="Y",IF(A6&gt;Assumptions!$C$12,Assumptions!$B$24,Assumptions!$B$22),Assumptions!$B$22)))</f>
        <v>45620.52576559306</v>
      </c>
      <c r="E6" s="10">
        <f>D6-F6</f>
        <v>17193.89636418877</v>
      </c>
      <c r="F6" s="10">
        <f>IF(B6=0,0,IF(D6&lt;Assumptions!$B$22,Assumptions!$B$18*Assumptions!$B$15*B6,B6*Assumptions!$B$15))</f>
        <v>28426.62940140429</v>
      </c>
      <c r="G6" s="10">
        <f>B6+C6-E6</f>
        <v>551338.691663897</v>
      </c>
      <c r="I6" s="10">
        <f>IF(A6=Assumptions!$B$12,-Assumptions!$B$14*Assumptions!$B$3,0)</f>
        <v>0</v>
      </c>
      <c r="J6" s="10">
        <f>IF($A6-Assumptions!$B$13&lt;0,0,(Assumptions!$B$17*12*Assumptions!$B$16*Assumptions!$B$8)*(1+Assumptions!$B$9)^($A6-Assumptions!$B$13))</f>
        <v>150822</v>
      </c>
      <c r="K6" s="10">
        <f>IF(J6=0,0,-J6*Assumptions!$B$7)</f>
        <v>-60328.8</v>
      </c>
      <c r="L6" s="10">
        <f>-D6</f>
        <v>-45620.52576559306</v>
      </c>
      <c r="M6" s="10">
        <f>SUM(I6:L6)</f>
        <v>44872.674234406935</v>
      </c>
      <c r="N6"/>
    </row>
    <row r="7" spans="1:14" ht="12.75">
      <c r="A7" s="21">
        <f>Assumptions!$H7</f>
        <v>2020</v>
      </c>
      <c r="B7" s="10">
        <f>IF(A7=Assumptions!$B$12,Assumptions!$B$14*(1-Assumptions!$B$3),G6)</f>
        <v>551338.691663897</v>
      </c>
      <c r="C7" s="10">
        <f>'Project 2'!J7</f>
        <v>0</v>
      </c>
      <c r="D7" s="10">
        <f>IF(B7&lt;1,0,IF(A7=Assumptions!$B$12,Assumptions!$B$18*Assumptions!$B$22,IF(Assumptions!$C$19="Y",IF(A7&gt;Assumptions!$C$12,Assumptions!$B$24,Assumptions!$B$22),Assumptions!$B$22)))</f>
        <v>45620.52576559306</v>
      </c>
      <c r="E7" s="10">
        <f>D7-F7</f>
        <v>18053.59118239821</v>
      </c>
      <c r="F7" s="10">
        <f>IF(B7=0,0,IF(D7&lt;Assumptions!$B$22,Assumptions!$B$18*Assumptions!$B$15*B7,B7*Assumptions!$B$15))</f>
        <v>27566.934583194852</v>
      </c>
      <c r="G7" s="10">
        <f>B7+C7-E7</f>
        <v>533285.1004814988</v>
      </c>
      <c r="I7" s="10">
        <f>IF(A7=Assumptions!$B$12,-Assumptions!$B$14*Assumptions!$B$3,0)</f>
        <v>0</v>
      </c>
      <c r="J7" s="10">
        <f>IF($A7-Assumptions!$B$13&lt;0,0,(Assumptions!$B$17*12*Assumptions!$B$16*Assumptions!$B$8)*(1+Assumptions!$B$9)^($A7-Assumptions!$B$13))</f>
        <v>158363.1</v>
      </c>
      <c r="K7" s="10">
        <f>IF(J7=0,0,-J7*Assumptions!$B$7)</f>
        <v>-63345.240000000005</v>
      </c>
      <c r="L7" s="10">
        <f>-D7</f>
        <v>-45620.52576559306</v>
      </c>
      <c r="M7" s="10">
        <f>SUM(I7:L7)</f>
        <v>49397.33423440694</v>
      </c>
      <c r="N7"/>
    </row>
    <row r="8" spans="1:13" ht="12.75">
      <c r="A8" s="21">
        <f>Assumptions!$H8</f>
        <v>2021</v>
      </c>
      <c r="B8" s="10">
        <f>IF(A8=Assumptions!$B$12,Assumptions!$B$14*(1-Assumptions!$B$3),G7)</f>
        <v>533285.1004814988</v>
      </c>
      <c r="C8" s="10">
        <f>'Project 2'!J8</f>
        <v>0</v>
      </c>
      <c r="D8" s="10">
        <f>IF(B8&lt;1,0,IF(A8=Assumptions!$B$12,Assumptions!$B$18*Assumptions!$B$22,IF(Assumptions!$C$19="Y",IF(A8&gt;Assumptions!$C$12,Assumptions!$B$24,Assumptions!$B$22),Assumptions!$B$22)))</f>
        <v>45620.52576559306</v>
      </c>
      <c r="E8" s="10">
        <f>D8-F8</f>
        <v>18956.27074151812</v>
      </c>
      <c r="F8" s="10">
        <f>IF(B8=0,0,IF(D8&lt;Assumptions!$B$22,Assumptions!$B$18*Assumptions!$B$15*B8,B8*Assumptions!$B$15))</f>
        <v>26664.25502407494</v>
      </c>
      <c r="G8" s="10">
        <f>B8+C8-E8</f>
        <v>514328.82973998063</v>
      </c>
      <c r="I8" s="10">
        <f>IF(A8=Assumptions!$B$12,-Assumptions!$B$14*Assumptions!$B$3,0)</f>
        <v>0</v>
      </c>
      <c r="J8" s="10">
        <f>IF($A8-Assumptions!$B$13&lt;0,0,(Assumptions!$B$17*12*Assumptions!$B$16*Assumptions!$B$8)*(1+Assumptions!$B$9)^($A8-Assumptions!$B$13))</f>
        <v>166281.25500000003</v>
      </c>
      <c r="K8" s="10">
        <f>IF(J8=0,0,-J8*Assumptions!$B$7)</f>
        <v>-66512.50200000002</v>
      </c>
      <c r="L8" s="10">
        <f>-D8</f>
        <v>-45620.52576559306</v>
      </c>
      <c r="M8" s="10">
        <f>SUM(I8:L8)</f>
        <v>54148.22723440695</v>
      </c>
    </row>
    <row r="9" spans="1:13" ht="12.75">
      <c r="A9" s="21">
        <f>Assumptions!$H9</f>
        <v>2022</v>
      </c>
      <c r="B9" s="10">
        <f>IF(A9=Assumptions!$B$12,Assumptions!$B$14*(1-Assumptions!$B$3),G8)</f>
        <v>514328.82973998063</v>
      </c>
      <c r="C9" s="10">
        <f>'Project 2'!J9</f>
        <v>0</v>
      </c>
      <c r="D9" s="10">
        <f>IF(B9&lt;1,0,IF(A9=Assumptions!$B$12,Assumptions!$B$18*Assumptions!$B$22,IF(Assumptions!$C$19="Y",IF(A9&gt;Assumptions!$C$12,Assumptions!$B$24,Assumptions!$B$22),Assumptions!$B$22)))</f>
        <v>45620.52576559306</v>
      </c>
      <c r="E9" s="10">
        <f>D9-F9</f>
        <v>19904.08427859403</v>
      </c>
      <c r="F9" s="10">
        <f>IF(B9=0,0,IF(D9&lt;Assumptions!$B$22,Assumptions!$B$18*Assumptions!$B$15*B9,B9*Assumptions!$B$15))</f>
        <v>25716.441486999032</v>
      </c>
      <c r="G9" s="10">
        <f>B9+C9-E9</f>
        <v>494424.7454613866</v>
      </c>
      <c r="I9" s="10">
        <f>IF(A9=Assumptions!$B$12,-Assumptions!$B$14*Assumptions!$B$3,0)</f>
        <v>0</v>
      </c>
      <c r="J9" s="10">
        <f>IF($A9-Assumptions!$B$13&lt;0,0,(Assumptions!$B$17*12*Assumptions!$B$16*Assumptions!$B$8)*(1+Assumptions!$B$9)^($A9-Assumptions!$B$13))</f>
        <v>174595.31775000005</v>
      </c>
      <c r="K9" s="10">
        <f>IF(J9=0,0,-J9*Assumptions!$B$7)</f>
        <v>-69838.12710000003</v>
      </c>
      <c r="L9" s="10">
        <f>-D9</f>
        <v>-45620.52576559306</v>
      </c>
      <c r="M9" s="10">
        <f>SUM(I9:L9)</f>
        <v>59136.66488440696</v>
      </c>
    </row>
    <row r="10" spans="1:13" ht="12.75">
      <c r="A10" s="21">
        <f>Assumptions!$H10</f>
        <v>2023</v>
      </c>
      <c r="B10" s="10">
        <f>IF(A10=Assumptions!$B$12,Assumptions!$B$14*(1-Assumptions!$B$3),G9)</f>
        <v>494424.7454613866</v>
      </c>
      <c r="C10" s="10">
        <f>'Project 2'!J10</f>
        <v>0</v>
      </c>
      <c r="D10" s="10">
        <f>IF(B10&lt;1,0,IF(A10=Assumptions!$B$12,Assumptions!$B$18*Assumptions!$B$22,IF(Assumptions!$C$19="Y",IF(A10&gt;Assumptions!$C$12,Assumptions!$B$24,Assumptions!$B$22),Assumptions!$B$22)))</f>
        <v>45620.52576559306</v>
      </c>
      <c r="E10" s="10">
        <f>D10-F10</f>
        <v>20899.28849252373</v>
      </c>
      <c r="F10" s="10">
        <f>IF(B10=0,0,IF(D10&lt;Assumptions!$B$22,Assumptions!$B$18*Assumptions!$B$15*B10,B10*Assumptions!$B$15))</f>
        <v>24721.23727306933</v>
      </c>
      <c r="G10" s="10">
        <f>B10+C10-E10</f>
        <v>473525.4569688629</v>
      </c>
      <c r="I10" s="10">
        <f>IF(A10=Assumptions!$B$12,-Assumptions!$B$14*Assumptions!$B$3,0)</f>
        <v>0</v>
      </c>
      <c r="J10" s="10">
        <f>IF($A10-Assumptions!$B$13&lt;0,0,(Assumptions!$B$17*12*Assumptions!$B$16*Assumptions!$B$8)*(1+Assumptions!$B$9)^($A10-Assumptions!$B$13))</f>
        <v>183325.08363750007</v>
      </c>
      <c r="K10" s="10">
        <f>IF(J10=0,0,-J10*Assumptions!$B$7)</f>
        <v>-73330.03345500003</v>
      </c>
      <c r="L10" s="10">
        <f>-D10</f>
        <v>-45620.52576559306</v>
      </c>
      <c r="M10" s="10">
        <f>SUM(I10:L10)</f>
        <v>64374.52441690698</v>
      </c>
    </row>
    <row r="11" spans="1:13" ht="12.75">
      <c r="A11" s="21">
        <f>Assumptions!$H11</f>
        <v>2024</v>
      </c>
      <c r="B11" s="10">
        <f>IF(A11=Assumptions!$B$12,Assumptions!$B$14*(1-Assumptions!$B$3),G10)</f>
        <v>473525.4569688629</v>
      </c>
      <c r="C11" s="10">
        <f>'Project 2'!J11</f>
        <v>0</v>
      </c>
      <c r="D11" s="10">
        <f>IF(B11&lt;1,0,IF(A11=Assumptions!$B$12,Assumptions!$B$18*Assumptions!$B$22,IF(Assumptions!$C$19="Y",IF(A11&gt;Assumptions!$C$12,Assumptions!$B$24,Assumptions!$B$22),Assumptions!$B$22)))</f>
        <v>45620.52576559306</v>
      </c>
      <c r="E11" s="10">
        <f>D11-F11</f>
        <v>21944.252917149915</v>
      </c>
      <c r="F11" s="10">
        <f>IF(B11=0,0,IF(D11&lt;Assumptions!$B$22,Assumptions!$B$18*Assumptions!$B$15*B11,B11*Assumptions!$B$15))</f>
        <v>23676.272848443146</v>
      </c>
      <c r="G11" s="10">
        <f>B11+C11-E11</f>
        <v>451581.204051713</v>
      </c>
      <c r="I11" s="10">
        <f>IF(A11=Assumptions!$B$12,-Assumptions!$B$14*Assumptions!$B$3,0)</f>
        <v>0</v>
      </c>
      <c r="J11" s="10">
        <f>IF($A11-Assumptions!$B$13&lt;0,0,(Assumptions!$B$17*12*Assumptions!$B$16*Assumptions!$B$8)*(1+Assumptions!$B$9)^($A11-Assumptions!$B$13))</f>
        <v>192491.33781937507</v>
      </c>
      <c r="K11" s="10">
        <f>IF(J11=0,0,-J11*Assumptions!$B$7)</f>
        <v>-76996.53512775003</v>
      </c>
      <c r="L11" s="10">
        <f>-D11</f>
        <v>-45620.52576559306</v>
      </c>
      <c r="M11" s="10">
        <f>SUM(I11:L11)</f>
        <v>69874.27692603198</v>
      </c>
    </row>
    <row r="12" spans="1:13" ht="12.75">
      <c r="A12" s="21">
        <f>Assumptions!$H12</f>
        <v>2025</v>
      </c>
      <c r="B12" s="10">
        <f>IF(A12=Assumptions!$B$12,Assumptions!$B$14*(1-Assumptions!$B$3),G11)</f>
        <v>451581.204051713</v>
      </c>
      <c r="C12" s="10">
        <f>'Project 2'!J12</f>
        <v>0</v>
      </c>
      <c r="D12" s="10">
        <f>IF(B12&lt;1,0,IF(A12=Assumptions!$B$12,Assumptions!$B$18*Assumptions!$B$22,IF(Assumptions!$C$19="Y",IF(A12&gt;Assumptions!$C$12,Assumptions!$B$24,Assumptions!$B$22),Assumptions!$B$22)))</f>
        <v>45620.52576559306</v>
      </c>
      <c r="E12" s="10">
        <f>D12-F12</f>
        <v>23041.465563007412</v>
      </c>
      <c r="F12" s="10">
        <f>IF(B12=0,0,IF(D12&lt;Assumptions!$B$22,Assumptions!$B$18*Assumptions!$B$15*B12,B12*Assumptions!$B$15))</f>
        <v>22579.06020258565</v>
      </c>
      <c r="G12" s="10">
        <f>B12+C12-E12</f>
        <v>428539.7384887056</v>
      </c>
      <c r="I12" s="10">
        <f>IF(A12=Assumptions!$B$12,-Assumptions!$B$14*Assumptions!$B$3,0)</f>
        <v>0</v>
      </c>
      <c r="J12" s="10">
        <f>IF($A12-Assumptions!$B$13&lt;0,0,(Assumptions!$B$17*12*Assumptions!$B$16*Assumptions!$B$8)*(1+Assumptions!$B$9)^($A12-Assumptions!$B$13))</f>
        <v>202115.90471034384</v>
      </c>
      <c r="K12" s="10">
        <f>IF(J12=0,0,-J12*Assumptions!$B$7)</f>
        <v>-80846.36188413754</v>
      </c>
      <c r="L12" s="10">
        <f>-D12</f>
        <v>-45620.52576559306</v>
      </c>
      <c r="M12" s="10">
        <f>SUM(I12:L12)</f>
        <v>75649.01706061323</v>
      </c>
    </row>
    <row r="13" spans="1:13" ht="12.75">
      <c r="A13" s="21">
        <f>Assumptions!$H13</f>
        <v>2026</v>
      </c>
      <c r="B13" s="10">
        <f>IF(A13=Assumptions!$B$12,Assumptions!$B$14*(1-Assumptions!$B$3),G12)</f>
        <v>428539.7384887056</v>
      </c>
      <c r="C13" s="10">
        <f>'Project 2'!J13</f>
        <v>0</v>
      </c>
      <c r="D13" s="10">
        <f>IF(B13&lt;1,0,IF(A13=Assumptions!$B$12,Assumptions!$B$18*Assumptions!$B$22,IF(Assumptions!$C$19="Y",IF(A13&gt;Assumptions!$C$12,Assumptions!$B$24,Assumptions!$B$22),Assumptions!$B$22)))</f>
        <v>45620.52576559306</v>
      </c>
      <c r="E13" s="10">
        <f>D13-F13</f>
        <v>24193.53884115778</v>
      </c>
      <c r="F13" s="10">
        <f>IF(B13=0,0,IF(D13&lt;Assumptions!$B$22,Assumptions!$B$18*Assumptions!$B$15*B13,B13*Assumptions!$B$15))</f>
        <v>21426.98692443528</v>
      </c>
      <c r="G13" s="10">
        <f>B13+C13-E13</f>
        <v>404346.1996475478</v>
      </c>
      <c r="I13" s="10">
        <f>IF(A13=Assumptions!$B$12,-Assumptions!$B$14*Assumptions!$B$3,0)</f>
        <v>0</v>
      </c>
      <c r="J13" s="10">
        <f>IF($A13-Assumptions!$B$13&lt;0,0,(Assumptions!$B$17*12*Assumptions!$B$16*Assumptions!$B$8)*(1+Assumptions!$B$9)^($A13-Assumptions!$B$13))</f>
        <v>212221.699945861</v>
      </c>
      <c r="K13" s="10">
        <f>IF(J13=0,0,-J13*Assumptions!$B$7)</f>
        <v>-84888.67997834441</v>
      </c>
      <c r="L13" s="10">
        <f>-D13</f>
        <v>-45620.52576559306</v>
      </c>
      <c r="M13" s="10">
        <f>SUM(I13:L13)</f>
        <v>81712.49420192353</v>
      </c>
    </row>
    <row r="14" spans="1:13" ht="12.75">
      <c r="A14" s="21">
        <f>Assumptions!$H14</f>
        <v>2027</v>
      </c>
      <c r="B14" s="10">
        <f>IF(A14=Assumptions!$B$12,Assumptions!$B$14*(1-Assumptions!$B$3),G13)</f>
        <v>404346.1996475478</v>
      </c>
      <c r="C14" s="10">
        <f>'Project 2'!J14</f>
        <v>0</v>
      </c>
      <c r="D14" s="10">
        <f>IF(B14&lt;1,0,IF(A14=Assumptions!$B$12,Assumptions!$B$18*Assumptions!$B$22,IF(Assumptions!$C$19="Y",IF(A14&gt;Assumptions!$C$12,Assumptions!$B$24,Assumptions!$B$22),Assumptions!$B$22)))</f>
        <v>45620.52576559306</v>
      </c>
      <c r="E14" s="10">
        <f>D14-F14</f>
        <v>25403.21578321567</v>
      </c>
      <c r="F14" s="10">
        <f>IF(B14=0,0,IF(D14&lt;Assumptions!$B$22,Assumptions!$B$18*Assumptions!$B$15*B14,B14*Assumptions!$B$15))</f>
        <v>20217.309982377392</v>
      </c>
      <c r="G14" s="10">
        <f>B14+C14-E14</f>
        <v>378942.98386433214</v>
      </c>
      <c r="I14" s="10">
        <f>IF(A14=Assumptions!$B$12,-Assumptions!$B$14*Assumptions!$B$3,0)</f>
        <v>0</v>
      </c>
      <c r="J14" s="10">
        <f>IF($A14-Assumptions!$B$13&lt;0,0,(Assumptions!$B$17*12*Assumptions!$B$16*Assumptions!$B$8)*(1+Assumptions!$B$9)^($A14-Assumptions!$B$13))</f>
        <v>222832.78494315408</v>
      </c>
      <c r="K14" s="10">
        <f>IF(J14=0,0,-J14*Assumptions!$B$7)</f>
        <v>-89133.11397726164</v>
      </c>
      <c r="L14" s="10">
        <f>-D14</f>
        <v>-45620.52576559306</v>
      </c>
      <c r="M14" s="10">
        <f>SUM(I14:L14)</f>
        <v>88079.14520029939</v>
      </c>
    </row>
    <row r="15" spans="1:13" ht="12.75">
      <c r="A15" s="21">
        <f>Assumptions!$H15</f>
        <v>2028</v>
      </c>
      <c r="B15" s="10">
        <f>IF(A15=Assumptions!$B$12,Assumptions!$B$14*(1-Assumptions!$B$3),G14)</f>
        <v>378942.98386433214</v>
      </c>
      <c r="C15" s="10">
        <f>'Project 2'!J15</f>
        <v>0</v>
      </c>
      <c r="D15" s="10">
        <f>IF(B15&lt;1,0,IF(A15=Assumptions!$B$12,Assumptions!$B$18*Assumptions!$B$22,IF(Assumptions!$C$19="Y",IF(A15&gt;Assumptions!$C$12,Assumptions!$B$24,Assumptions!$B$22),Assumptions!$B$22)))</f>
        <v>45620.52576559306</v>
      </c>
      <c r="E15" s="10">
        <f>D15-F15</f>
        <v>26673.376572376455</v>
      </c>
      <c r="F15" s="10">
        <f>IF(B15=0,0,IF(D15&lt;Assumptions!$B$22,Assumptions!$B$18*Assumptions!$B$15*B15,B15*Assumptions!$B$15))</f>
        <v>18947.149193216606</v>
      </c>
      <c r="G15" s="10">
        <f>B15+C15-E15</f>
        <v>352269.6072919557</v>
      </c>
      <c r="I15" s="10">
        <f>IF(A15=Assumptions!$B$12,-Assumptions!$B$14*Assumptions!$B$3,0)</f>
        <v>0</v>
      </c>
      <c r="J15" s="10">
        <f>IF($A15-Assumptions!$B$13&lt;0,0,(Assumptions!$B$17*12*Assumptions!$B$16*Assumptions!$B$8)*(1+Assumptions!$B$9)^($A15-Assumptions!$B$13))</f>
        <v>233974.42419031178</v>
      </c>
      <c r="K15" s="10">
        <f>IF(J15=0,0,-J15*Assumptions!$B$7)</f>
        <v>-93589.76967612472</v>
      </c>
      <c r="L15" s="10">
        <f>-D15</f>
        <v>-45620.52576559306</v>
      </c>
      <c r="M15" s="10">
        <f>SUM(I15:L15)</f>
        <v>94764.128748594</v>
      </c>
    </row>
    <row r="16" spans="1:13" ht="12.75">
      <c r="A16" s="21">
        <f>Assumptions!$H16</f>
        <v>2029</v>
      </c>
      <c r="B16" s="10">
        <f>IF(A16=Assumptions!$B$12,Assumptions!$B$14*(1-Assumptions!$B$3),G15)</f>
        <v>352269.6072919557</v>
      </c>
      <c r="C16" s="10">
        <f>'Project 2'!J16</f>
        <v>0</v>
      </c>
      <c r="D16" s="10">
        <f>IF(B16&lt;1,0,IF(A16=Assumptions!$B$12,Assumptions!$B$18*Assumptions!$B$22,IF(Assumptions!$C$19="Y",IF(A16&gt;Assumptions!$C$12,Assumptions!$B$24,Assumptions!$B$22),Assumptions!$B$22)))</f>
        <v>45620.52576559306</v>
      </c>
      <c r="E16" s="10">
        <f>D16-F16</f>
        <v>28007.045400995277</v>
      </c>
      <c r="F16" s="10">
        <f>IF(B16=0,0,IF(D16&lt;Assumptions!$B$22,Assumptions!$B$18*Assumptions!$B$15*B16,B16*Assumptions!$B$15))</f>
        <v>17613.480364597785</v>
      </c>
      <c r="G16" s="10">
        <f>B16+C16-E16</f>
        <v>324262.5618909604</v>
      </c>
      <c r="I16" s="10">
        <f>IF(A16=Assumptions!$B$12,-Assumptions!$B$14*Assumptions!$B$3,0)</f>
        <v>0</v>
      </c>
      <c r="J16" s="10">
        <f>IF($A16-Assumptions!$B$13&lt;0,0,(Assumptions!$B$17*12*Assumptions!$B$16*Assumptions!$B$8)*(1+Assumptions!$B$9)^($A16-Assumptions!$B$13))</f>
        <v>245673.1453998274</v>
      </c>
      <c r="K16" s="10">
        <f>IF(J16=0,0,-J16*Assumptions!$B$7)</f>
        <v>-98269.25815993096</v>
      </c>
      <c r="L16" s="10">
        <f>-D16</f>
        <v>-45620.52576559306</v>
      </c>
      <c r="M16" s="10">
        <f>SUM(I16:L16)</f>
        <v>101783.36147430335</v>
      </c>
    </row>
    <row r="17" spans="1:13" ht="12.75">
      <c r="A17" s="21">
        <f>Assumptions!$H17</f>
        <v>2030</v>
      </c>
      <c r="B17" s="10">
        <f>IF(A17=Assumptions!$B$12,Assumptions!$B$14*(1-Assumptions!$B$3),G16)</f>
        <v>324262.5618909604</v>
      </c>
      <c r="C17" s="10">
        <f>'Project 2'!J17</f>
        <v>0</v>
      </c>
      <c r="D17" s="10">
        <f>IF(B17&lt;1,0,IF(A17=Assumptions!$B$12,Assumptions!$B$18*Assumptions!$B$22,IF(Assumptions!$C$19="Y",IF(A17&gt;Assumptions!$C$12,Assumptions!$B$24,Assumptions!$B$22),Assumptions!$B$22)))</f>
        <v>45620.52576559306</v>
      </c>
      <c r="E17" s="10">
        <f>D17-F17</f>
        <v>29407.397671045044</v>
      </c>
      <c r="F17" s="10">
        <f>IF(B17=0,0,IF(D17&lt;Assumptions!$B$22,Assumptions!$B$18*Assumptions!$B$15*B17,B17*Assumptions!$B$15))</f>
        <v>16213.12809454802</v>
      </c>
      <c r="G17" s="10">
        <f>B17+C17-E17</f>
        <v>294855.16421991534</v>
      </c>
      <c r="I17" s="10">
        <f>IF(A17=Assumptions!$B$12,-Assumptions!$B$14*Assumptions!$B$3,0)</f>
        <v>0</v>
      </c>
      <c r="J17" s="10">
        <f>IF($A17-Assumptions!$B$13&lt;0,0,(Assumptions!$B$17*12*Assumptions!$B$16*Assumptions!$B$8)*(1+Assumptions!$B$9)^($A17-Assumptions!$B$13))</f>
        <v>257956.80266981878</v>
      </c>
      <c r="K17" s="10">
        <f>IF(J17=0,0,-J17*Assumptions!$B$7)</f>
        <v>-103182.72106792752</v>
      </c>
      <c r="L17" s="10">
        <f>-D17</f>
        <v>-45620.52576559306</v>
      </c>
      <c r="M17" s="10">
        <f>SUM(I17:L17)</f>
        <v>109153.55583629818</v>
      </c>
    </row>
    <row r="18" spans="1:13" ht="12.75">
      <c r="A18" s="21">
        <f>Assumptions!$H18</f>
        <v>2031</v>
      </c>
      <c r="B18" s="10">
        <f>IF(A18=Assumptions!$B$12,Assumptions!$B$14*(1-Assumptions!$B$3),G17)</f>
        <v>294855.16421991534</v>
      </c>
      <c r="C18" s="10">
        <f>'Project 2'!J18</f>
        <v>0</v>
      </c>
      <c r="D18" s="10">
        <f>IF(B18&lt;1,0,IF(A18=Assumptions!$B$12,Assumptions!$B$18*Assumptions!$B$22,IF(Assumptions!$C$19="Y",IF(A18&gt;Assumptions!$C$12,Assumptions!$B$24,Assumptions!$B$22),Assumptions!$B$22)))</f>
        <v>45620.52576559306</v>
      </c>
      <c r="E18" s="10">
        <f>D18-F18</f>
        <v>30877.767554597296</v>
      </c>
      <c r="F18" s="10">
        <f>IF(B18=0,0,IF(D18&lt;Assumptions!$B$22,Assumptions!$B$18*Assumptions!$B$15*B18,B18*Assumptions!$B$15))</f>
        <v>14742.758210995768</v>
      </c>
      <c r="G18" s="10">
        <f>B18+C18-E18</f>
        <v>263977.39666531805</v>
      </c>
      <c r="I18" s="10">
        <f>IF(A18=Assumptions!$B$12,-Assumptions!$B$14*Assumptions!$B$3,0)</f>
        <v>0</v>
      </c>
      <c r="J18" s="10">
        <f>IF($A18-Assumptions!$B$13&lt;0,0,(Assumptions!$B$17*12*Assumptions!$B$16*Assumptions!$B$8)*(1+Assumptions!$B$9)^($A18-Assumptions!$B$13))</f>
        <v>270854.6428033097</v>
      </c>
      <c r="K18" s="10">
        <f>IF(J18=0,0,-J18*Assumptions!$B$7)</f>
        <v>-108341.85712132389</v>
      </c>
      <c r="L18" s="10">
        <f>-D18</f>
        <v>-45620.52576559306</v>
      </c>
      <c r="M18" s="10">
        <f>SUM(I18:L18)</f>
        <v>116892.25991639277</v>
      </c>
    </row>
    <row r="19" spans="1:13" ht="12.75">
      <c r="A19" s="21">
        <f>Assumptions!$H19</f>
        <v>2032</v>
      </c>
      <c r="B19" s="10">
        <f>IF(A19=Assumptions!$B$12,Assumptions!$B$14*(1-Assumptions!$B$3),G18)</f>
        <v>263977.39666531805</v>
      </c>
      <c r="C19" s="10">
        <f>'Project 2'!J19</f>
        <v>0</v>
      </c>
      <c r="D19" s="10">
        <f>IF(B19&lt;1,0,IF(A19=Assumptions!$B$12,Assumptions!$B$18*Assumptions!$B$22,IF(Assumptions!$C$19="Y",IF(A19&gt;Assumptions!$C$12,Assumptions!$B$24,Assumptions!$B$22),Assumptions!$B$22)))</f>
        <v>45620.52576559306</v>
      </c>
      <c r="E19" s="10">
        <f>D19-F19</f>
        <v>32421.655932327158</v>
      </c>
      <c r="F19" s="10">
        <f>IF(B19=0,0,IF(D19&lt;Assumptions!$B$22,Assumptions!$B$18*Assumptions!$B$15*B19,B19*Assumptions!$B$15))</f>
        <v>13198.869833265904</v>
      </c>
      <c r="G19" s="10">
        <f>B19+C19-E19</f>
        <v>231555.7407329909</v>
      </c>
      <c r="I19" s="10">
        <f>IF(A19=Assumptions!$B$12,-Assumptions!$B$14*Assumptions!$B$3,0)</f>
        <v>0</v>
      </c>
      <c r="J19" s="10">
        <f>IF($A19-Assumptions!$B$13&lt;0,0,(Assumptions!$B$17*12*Assumptions!$B$16*Assumptions!$B$8)*(1+Assumptions!$B$9)^($A19-Assumptions!$B$13))</f>
        <v>284397.37494347524</v>
      </c>
      <c r="K19" s="10">
        <f>IF(J19=0,0,-J19*Assumptions!$B$7)</f>
        <v>-113758.9499773901</v>
      </c>
      <c r="L19" s="10">
        <f>-D19</f>
        <v>-45620.52576559306</v>
      </c>
      <c r="M19" s="10">
        <f>SUM(I19:L19)</f>
        <v>125017.89920049207</v>
      </c>
    </row>
    <row r="20" spans="1:13" ht="12.75">
      <c r="A20" s="21">
        <f>Assumptions!$H20</f>
        <v>2033</v>
      </c>
      <c r="B20" s="10">
        <f>IF(A20=Assumptions!$B$12,Assumptions!$B$14*(1-Assumptions!$B$3),G19)</f>
        <v>231555.7407329909</v>
      </c>
      <c r="C20" s="10">
        <f>'Project 2'!J20</f>
        <v>0</v>
      </c>
      <c r="D20" s="10">
        <f>IF(B20&lt;1,0,IF(A20=Assumptions!$B$12,Assumptions!$B$18*Assumptions!$B$22,IF(Assumptions!$C$19="Y",IF(A20&gt;Assumptions!$C$12,Assumptions!$B$24,Assumptions!$B$22),Assumptions!$B$22)))</f>
        <v>45620.52576559306</v>
      </c>
      <c r="E20" s="10">
        <f>D20-F20</f>
        <v>34042.738728943514</v>
      </c>
      <c r="F20" s="10">
        <f>IF(B20=0,0,IF(D20&lt;Assumptions!$B$22,Assumptions!$B$18*Assumptions!$B$15*B20,B20*Assumptions!$B$15))</f>
        <v>11577.787036649546</v>
      </c>
      <c r="G20" s="10">
        <f>B20+C20-E20</f>
        <v>197513.0020040474</v>
      </c>
      <c r="I20" s="10">
        <f>IF(A20=Assumptions!$B$12,-Assumptions!$B$14*Assumptions!$B$3,0)</f>
        <v>0</v>
      </c>
      <c r="J20" s="10">
        <f>IF($A20-Assumptions!$B$13&lt;0,0,(Assumptions!$B$17*12*Assumptions!$B$16*Assumptions!$B$8)*(1+Assumptions!$B$9)^($A20-Assumptions!$B$13))</f>
        <v>298617.243690649</v>
      </c>
      <c r="K20" s="10">
        <f>IF(J20=0,0,-J20*Assumptions!$B$7)</f>
        <v>-119446.8974762596</v>
      </c>
      <c r="L20" s="10">
        <f>-D20</f>
        <v>-45620.52576559306</v>
      </c>
      <c r="M20" s="10">
        <f>SUM(I20:L20)</f>
        <v>133549.82044879632</v>
      </c>
    </row>
    <row r="21" spans="1:13" ht="12.75">
      <c r="A21" s="21">
        <f>Assumptions!$H21</f>
        <v>2034</v>
      </c>
      <c r="B21" s="10">
        <f>IF(A21=Assumptions!$B$12,Assumptions!$B$14*(1-Assumptions!$B$3),G20)</f>
        <v>197513.0020040474</v>
      </c>
      <c r="C21" s="10">
        <f>'Project 2'!J21</f>
        <v>0</v>
      </c>
      <c r="D21" s="10">
        <f>IF(B21&lt;1,0,IF(A21=Assumptions!$B$12,Assumptions!$B$18*Assumptions!$B$22,IF(Assumptions!$C$19="Y",IF(A21&gt;Assumptions!$C$12,Assumptions!$B$24,Assumptions!$B$22),Assumptions!$B$22)))</f>
        <v>45620.52576559306</v>
      </c>
      <c r="E21" s="10">
        <f>D21-F21</f>
        <v>35744.87566539069</v>
      </c>
      <c r="F21" s="10">
        <f>IF(B21=0,0,IF(D21&lt;Assumptions!$B$22,Assumptions!$B$18*Assumptions!$B$15*B21,B21*Assumptions!$B$15))</f>
        <v>9875.65010020237</v>
      </c>
      <c r="G21" s="10">
        <f>B21+C21-E21</f>
        <v>161768.1263386567</v>
      </c>
      <c r="I21" s="10">
        <f>IF(A21=Assumptions!$B$12,-Assumptions!$B$14*Assumptions!$B$3,0)</f>
        <v>0</v>
      </c>
      <c r="J21" s="10">
        <f>IF($A21-Assumptions!$B$13&lt;0,0,(Assumptions!$B$17*12*Assumptions!$B$16*Assumptions!$B$8)*(1+Assumptions!$B$9)^($A21-Assumptions!$B$13))</f>
        <v>313548.10587518144</v>
      </c>
      <c r="K21" s="10">
        <f>IF(J21=0,0,-J21*Assumptions!$B$7)</f>
        <v>-125419.24235007259</v>
      </c>
      <c r="L21" s="10">
        <f>-D21</f>
        <v>-45620.52576559306</v>
      </c>
      <c r="M21" s="10">
        <f>SUM(I21:L21)</f>
        <v>142508.3377595158</v>
      </c>
    </row>
    <row r="22" spans="1:13" ht="12.75">
      <c r="A22" s="21">
        <f>Assumptions!$H22</f>
        <v>2035</v>
      </c>
      <c r="B22" s="10">
        <f>IF(A22=Assumptions!$B$12,Assumptions!$B$14*(1-Assumptions!$B$3),G21)</f>
        <v>161768.1263386567</v>
      </c>
      <c r="C22" s="10">
        <f>'Project 2'!J22</f>
        <v>0</v>
      </c>
      <c r="D22" s="10">
        <f>IF(B22&lt;1,0,IF(A22=Assumptions!$B$12,Assumptions!$B$18*Assumptions!$B$22,IF(Assumptions!$C$19="Y",IF(A22&gt;Assumptions!$C$12,Assumptions!$B$24,Assumptions!$B$22),Assumptions!$B$22)))</f>
        <v>45620.52576559306</v>
      </c>
      <c r="E22" s="10">
        <f>D22-F22</f>
        <v>37532.119448660225</v>
      </c>
      <c r="F22" s="10">
        <f>IF(B22=0,0,IF(D22&lt;Assumptions!$B$22,Assumptions!$B$18*Assumptions!$B$15*B22,B22*Assumptions!$B$15))</f>
        <v>8088.406316932836</v>
      </c>
      <c r="G22" s="10">
        <f>B22+C22-E22</f>
        <v>124236.00688999647</v>
      </c>
      <c r="I22" s="10">
        <f>IF(A22=Assumptions!$B$12,-Assumptions!$B$14*Assumptions!$B$3,0)</f>
        <v>0</v>
      </c>
      <c r="J22" s="10">
        <f>IF($A22-Assumptions!$B$13&lt;0,0,(Assumptions!$B$17*12*Assumptions!$B$16*Assumptions!$B$8)*(1+Assumptions!$B$9)^($A22-Assumptions!$B$13))</f>
        <v>329225.5111689405</v>
      </c>
      <c r="K22" s="10">
        <f>IF(J22=0,0,-J22*Assumptions!$B$7)</f>
        <v>-131690.2044675762</v>
      </c>
      <c r="L22" s="10">
        <f>-D22</f>
        <v>-45620.52576559306</v>
      </c>
      <c r="M22" s="10">
        <f>SUM(I22:L22)</f>
        <v>151914.78093577124</v>
      </c>
    </row>
    <row r="23" spans="1:13" ht="12.75">
      <c r="A23" s="21">
        <f>Assumptions!$H23</f>
        <v>2036</v>
      </c>
      <c r="B23" s="10">
        <f>IF(A23=Assumptions!$B$12,Assumptions!$B$14*(1-Assumptions!$B$3),G22)</f>
        <v>124236.00688999647</v>
      </c>
      <c r="C23" s="10">
        <f>'Project 2'!J23</f>
        <v>0</v>
      </c>
      <c r="D23" s="10">
        <f>IF(B23&lt;1,0,IF(A23=Assumptions!$B$12,Assumptions!$B$18*Assumptions!$B$22,IF(Assumptions!$C$19="Y",IF(A23&gt;Assumptions!$C$12,Assumptions!$B$24,Assumptions!$B$22),Assumptions!$B$22)))</f>
        <v>45620.52576559306</v>
      </c>
      <c r="E23" s="10">
        <f>D23-F23</f>
        <v>39408.72542109324</v>
      </c>
      <c r="F23" s="10">
        <f>IF(B23=0,0,IF(D23&lt;Assumptions!$B$22,Assumptions!$B$18*Assumptions!$B$15*B23,B23*Assumptions!$B$15))</f>
        <v>6211.800344499824</v>
      </c>
      <c r="G23" s="10">
        <f>B23+C23-E23</f>
        <v>84827.28146890324</v>
      </c>
      <c r="I23" s="10">
        <f>IF(A23=Assumptions!$B$12,-Assumptions!$B$14*Assumptions!$B$3,0)</f>
        <v>0</v>
      </c>
      <c r="J23" s="10">
        <f>IF($A23-Assumptions!$B$13&lt;0,0,(Assumptions!$B$17*12*Assumptions!$B$16*Assumptions!$B$8)*(1+Assumptions!$B$9)^($A23-Assumptions!$B$13))</f>
        <v>345686.7867273876</v>
      </c>
      <c r="K23" s="10">
        <f>IF(J23=0,0,-J23*Assumptions!$B$7)</f>
        <v>-138274.71469095504</v>
      </c>
      <c r="L23" s="10">
        <f>-D23</f>
        <v>-45620.52576559306</v>
      </c>
      <c r="M23" s="10">
        <f>SUM(I23:L23)</f>
        <v>161791.54627083946</v>
      </c>
    </row>
    <row r="24" spans="1:13" ht="12.75">
      <c r="A24" s="21">
        <f>Assumptions!$H24</f>
        <v>2037</v>
      </c>
      <c r="B24" s="10">
        <f>IF(A24=Assumptions!$B$12,Assumptions!$B$14*(1-Assumptions!$B$3),G23)</f>
        <v>84827.28146890324</v>
      </c>
      <c r="C24" s="10">
        <f>'Project 2'!J24</f>
        <v>0</v>
      </c>
      <c r="D24" s="10">
        <f>IF(B24&lt;1,0,IF(A24=Assumptions!$B$12,Assumptions!$B$18*Assumptions!$B$22,IF(Assumptions!$C$19="Y",IF(A24&gt;Assumptions!$C$12,Assumptions!$B$24,Assumptions!$B$22),Assumptions!$B$22)))</f>
        <v>45620.52576559306</v>
      </c>
      <c r="E24" s="10">
        <f>D24-F24</f>
        <v>41379.1616921479</v>
      </c>
      <c r="F24" s="10">
        <f>IF(B24=0,0,IF(D24&lt;Assumptions!$B$22,Assumptions!$B$18*Assumptions!$B$15*B24,B24*Assumptions!$B$15))</f>
        <v>4241.364073445162</v>
      </c>
      <c r="G24" s="10">
        <f>B24+C24-E24</f>
        <v>43448.11977675534</v>
      </c>
      <c r="I24" s="10">
        <f>IF(A24=Assumptions!$B$12,-Assumptions!$B$14*Assumptions!$B$3,0)</f>
        <v>0</v>
      </c>
      <c r="J24" s="10">
        <f>IF($A24-Assumptions!$B$13&lt;0,0,(Assumptions!$B$17*12*Assumptions!$B$16*Assumptions!$B$8)*(1+Assumptions!$B$9)^($A24-Assumptions!$B$13))</f>
        <v>362971.12606375694</v>
      </c>
      <c r="K24" s="10">
        <f>IF(J24=0,0,-J24*Assumptions!$B$7)</f>
        <v>-145188.4504255028</v>
      </c>
      <c r="L24" s="10">
        <f>-D24</f>
        <v>-45620.52576559306</v>
      </c>
      <c r="M24" s="10">
        <f>SUM(I24:L24)</f>
        <v>172162.1498726611</v>
      </c>
    </row>
    <row r="25" spans="1:13" ht="12.75">
      <c r="A25" s="21">
        <f>Assumptions!$H25</f>
        <v>2038</v>
      </c>
      <c r="B25" s="10">
        <f>IF(A25=Assumptions!$B$12,Assumptions!$B$14*(1-Assumptions!$B$3),G24)</f>
        <v>43448.11977675534</v>
      </c>
      <c r="C25" s="10">
        <f>'Project 2'!J25</f>
        <v>0</v>
      </c>
      <c r="D25" s="10">
        <f>IF(B25&lt;1,0,IF(A25=Assumptions!$B$12,Assumptions!$B$18*Assumptions!$B$22,IF(Assumptions!$C$19="Y",IF(A25&gt;Assumptions!$C$12,Assumptions!$B$24,Assumptions!$B$22),Assumptions!$B$22)))</f>
        <v>45620.52576559306</v>
      </c>
      <c r="E25" s="10">
        <f>D25-F25</f>
        <v>43448.119776755295</v>
      </c>
      <c r="F25" s="10">
        <f>IF(B25=0,0,IF(D25&lt;Assumptions!$B$22,Assumptions!$B$18*Assumptions!$B$15*B25,B25*Assumptions!$B$15))</f>
        <v>2172.405988837767</v>
      </c>
      <c r="G25" s="10">
        <f>B25+C25-E25</f>
        <v>0</v>
      </c>
      <c r="I25" s="10">
        <f>IF(A25=Assumptions!$B$12,-Assumptions!$B$14*Assumptions!$B$3,0)</f>
        <v>0</v>
      </c>
      <c r="J25" s="10">
        <f>IF($A25-Assumptions!$B$13&lt;0,0,(Assumptions!$B$17*12*Assumptions!$B$16*Assumptions!$B$8)*(1+Assumptions!$B$9)^($A25-Assumptions!$B$13))</f>
        <v>381119.68236694485</v>
      </c>
      <c r="K25" s="10">
        <f>IF(J25=0,0,-J25*Assumptions!$B$7)</f>
        <v>-152447.87294677793</v>
      </c>
      <c r="L25" s="10">
        <f>-D25</f>
        <v>-45620.52576559306</v>
      </c>
      <c r="M25" s="10">
        <f>SUM(I25:L25)</f>
        <v>183051.28365457384</v>
      </c>
    </row>
    <row r="26" spans="1:13" ht="12.75">
      <c r="A26" s="21">
        <f>Assumptions!$H26</f>
        <v>2039</v>
      </c>
      <c r="B26" s="10">
        <f>IF(A26=Assumptions!$B$12,Assumptions!$B$14*(1-Assumptions!$B$3),G25)</f>
        <v>0</v>
      </c>
      <c r="C26" s="10">
        <f>'Project 2'!J26</f>
        <v>0</v>
      </c>
      <c r="D26" s="10">
        <f>IF(B26&lt;1,0,IF(A26=Assumptions!$B$12,Assumptions!$B$18*Assumptions!$B$22,IF(Assumptions!$C$19="Y",IF(A26&gt;Assumptions!$C$12,Assumptions!$B$24,Assumptions!$B$22),Assumptions!$B$22)))</f>
        <v>0</v>
      </c>
      <c r="E26" s="10">
        <f>D26-F26</f>
        <v>0</v>
      </c>
      <c r="F26" s="10">
        <f>IF(B26=0,0,IF(D26&lt;Assumptions!$B$22,Assumptions!$B$18*Assumptions!$B$15*B26,B26*Assumptions!$B$15))</f>
        <v>0</v>
      </c>
      <c r="G26" s="10">
        <f>B26+C26-E26</f>
        <v>0</v>
      </c>
      <c r="I26" s="10">
        <f>IF(A26=Assumptions!$B$12,-Assumptions!$B$14*Assumptions!$B$3,0)</f>
        <v>0</v>
      </c>
      <c r="J26" s="10">
        <f>IF($A26-Assumptions!$B$13&lt;0,0,(Assumptions!$B$17*12*Assumptions!$B$16*Assumptions!$B$8)*(1+Assumptions!$B$9)^($A26-Assumptions!$B$13))</f>
        <v>400175.66648529214</v>
      </c>
      <c r="K26" s="10">
        <f>IF(J26=0,0,-J26*Assumptions!$B$7)</f>
        <v>-160070.26659411687</v>
      </c>
      <c r="L26" s="10">
        <f>-D26</f>
        <v>0</v>
      </c>
      <c r="M26" s="10">
        <f>SUM(I26:L26)</f>
        <v>240105.39989117527</v>
      </c>
    </row>
    <row r="27" spans="1:13" ht="12.75">
      <c r="A27" s="21">
        <f>Assumptions!$H27</f>
        <v>2040</v>
      </c>
      <c r="B27" s="10">
        <f>IF(A27=Assumptions!$B$12,Assumptions!$B$14*(1-Assumptions!$B$3),G26)</f>
        <v>0</v>
      </c>
      <c r="C27" s="10">
        <f>'Project 2'!J27</f>
        <v>0</v>
      </c>
      <c r="D27" s="10">
        <f>IF(B27&lt;1,0,IF(A27=Assumptions!$B$12,Assumptions!$B$18*Assumptions!$B$22,IF(Assumptions!$C$19="Y",IF(A27&gt;Assumptions!$C$12,Assumptions!$B$24,Assumptions!$B$22),Assumptions!$B$22)))</f>
        <v>0</v>
      </c>
      <c r="E27" s="10">
        <f>D27-F27</f>
        <v>0</v>
      </c>
      <c r="F27" s="10">
        <f>IF(B27=0,0,IF(D27&lt;Assumptions!$B$22,Assumptions!$B$18*Assumptions!$B$15*B27,B27*Assumptions!$B$15))</f>
        <v>0</v>
      </c>
      <c r="G27" s="10">
        <f>B27+C27-E27</f>
        <v>0</v>
      </c>
      <c r="I27" s="10">
        <f>IF(A27=Assumptions!$B$12,-Assumptions!$B$14*Assumptions!$B$3,0)</f>
        <v>0</v>
      </c>
      <c r="J27" s="10">
        <f>IF($A27-Assumptions!$B$13&lt;0,0,(Assumptions!$B$17*12*Assumptions!$B$16*Assumptions!$B$8)*(1+Assumptions!$B$9)^($A27-Assumptions!$B$13))</f>
        <v>420184.4498095567</v>
      </c>
      <c r="K27" s="10">
        <f>IF(J27=0,0,-J27*Assumptions!$B$7)</f>
        <v>-168073.7799238227</v>
      </c>
      <c r="L27" s="10">
        <f>-D27</f>
        <v>0</v>
      </c>
      <c r="M27" s="10">
        <f>SUM(I27:L27)</f>
        <v>252110.669885734</v>
      </c>
    </row>
    <row r="28" spans="1:13" ht="12.75">
      <c r="A28" s="21">
        <f>Assumptions!$H28</f>
        <v>2041</v>
      </c>
      <c r="B28" s="10">
        <f>IF(A28=Assumptions!$B$12,Assumptions!$B$14*(1-Assumptions!$B$3),G27)</f>
        <v>0</v>
      </c>
      <c r="C28" s="10">
        <f>'Project 2'!J28</f>
        <v>0</v>
      </c>
      <c r="D28" s="10">
        <f>IF(B28&lt;1,0,IF(A28=Assumptions!$B$12,Assumptions!$B$18*Assumptions!$B$22,IF(Assumptions!$C$19="Y",IF(A28&gt;Assumptions!$C$12,Assumptions!$B$24,Assumptions!$B$22),Assumptions!$B$22)))</f>
        <v>0</v>
      </c>
      <c r="E28" s="10">
        <f>D28-F28</f>
        <v>0</v>
      </c>
      <c r="F28" s="10">
        <f>IF(B28=0,0,IF(D28&lt;Assumptions!$B$22,Assumptions!$B$18*Assumptions!$B$15*B28,B28*Assumptions!$B$15))</f>
        <v>0</v>
      </c>
      <c r="G28" s="10">
        <f>B28+C28-E28</f>
        <v>0</v>
      </c>
      <c r="I28" s="10">
        <f>IF(A28=Assumptions!$B$12,-Assumptions!$B$14*Assumptions!$B$3,0)</f>
        <v>0</v>
      </c>
      <c r="J28" s="10">
        <f>IF($A28-Assumptions!$B$13&lt;0,0,(Assumptions!$B$17*12*Assumptions!$B$16*Assumptions!$B$8)*(1+Assumptions!$B$9)^($A28-Assumptions!$B$13))</f>
        <v>441193.67230003455</v>
      </c>
      <c r="K28" s="10">
        <f>IF(J28=0,0,-J28*Assumptions!$B$7)</f>
        <v>-176477.46892001384</v>
      </c>
      <c r="L28" s="10">
        <f>-D28</f>
        <v>0</v>
      </c>
      <c r="M28" s="10">
        <f>SUM(I28:L28)</f>
        <v>264716.2033800207</v>
      </c>
    </row>
    <row r="29" spans="1:13" ht="12.75">
      <c r="A29" s="21">
        <f>Assumptions!$H29</f>
        <v>2042</v>
      </c>
      <c r="B29" s="10">
        <f>IF(A29=Assumptions!$B$12,Assumptions!$B$14*(1-Assumptions!$B$3),G28)</f>
        <v>0</v>
      </c>
      <c r="C29" s="10">
        <f>'Project 2'!J29</f>
        <v>0</v>
      </c>
      <c r="D29" s="10">
        <f>IF(B29&lt;1,0,IF(A29=Assumptions!$B$12,Assumptions!$B$18*Assumptions!$B$22,IF(Assumptions!$C$19="Y",IF(A29&gt;Assumptions!$C$12,Assumptions!$B$24,Assumptions!$B$22),Assumptions!$B$22)))</f>
        <v>0</v>
      </c>
      <c r="E29" s="10">
        <f>D29-F29</f>
        <v>0</v>
      </c>
      <c r="F29" s="10">
        <f>IF(B29=0,0,IF(D29&lt;Assumptions!$B$22,Assumptions!$B$18*Assumptions!$B$15*B29,B29*Assumptions!$B$15))</f>
        <v>0</v>
      </c>
      <c r="G29" s="10">
        <f>B29+C29-E29</f>
        <v>0</v>
      </c>
      <c r="I29" s="10">
        <f>IF(A29=Assumptions!$B$12,-Assumptions!$B$14*Assumptions!$B$3,0)</f>
        <v>0</v>
      </c>
      <c r="J29" s="10">
        <f>IF($A29-Assumptions!$B$13&lt;0,0,(Assumptions!$B$17*12*Assumptions!$B$16*Assumptions!$B$8)*(1+Assumptions!$B$9)^($A29-Assumptions!$B$13))</f>
        <v>463253.35591503634</v>
      </c>
      <c r="K29" s="10">
        <f>IF(J29=0,0,-J29*Assumptions!$B$7)</f>
        <v>-185301.34236601455</v>
      </c>
      <c r="L29" s="10">
        <f>-D29</f>
        <v>0</v>
      </c>
      <c r="M29" s="10">
        <f>SUM(I29:L29)</f>
        <v>277952.0135490218</v>
      </c>
    </row>
    <row r="30" spans="1:13" ht="12.75">
      <c r="A30" s="21">
        <f>Assumptions!$H30</f>
        <v>2043</v>
      </c>
      <c r="B30" s="10">
        <f>IF(A30=Assumptions!$B$12,Assumptions!$B$14*(1-Assumptions!$B$3),G29)</f>
        <v>0</v>
      </c>
      <c r="C30" s="10">
        <f>'Project 2'!J30</f>
        <v>0</v>
      </c>
      <c r="D30" s="10">
        <f>IF(B30&lt;1,0,IF(A30=Assumptions!$B$12,Assumptions!$B$18*Assumptions!$B$22,IF(Assumptions!$C$19="Y",IF(A30&gt;Assumptions!$C$12,Assumptions!$B$24,Assumptions!$B$22),Assumptions!$B$22)))</f>
        <v>0</v>
      </c>
      <c r="E30" s="10">
        <f>D30-F30</f>
        <v>0</v>
      </c>
      <c r="F30" s="10">
        <f>IF(B30=0,0,IF(D30&lt;Assumptions!$B$22,Assumptions!$B$18*Assumptions!$B$15*B30,B30*Assumptions!$B$15))</f>
        <v>0</v>
      </c>
      <c r="G30" s="10">
        <f>B30+C30-E30</f>
        <v>0</v>
      </c>
      <c r="I30" s="10">
        <f>IF(A30=Assumptions!$B$12,-Assumptions!$B$14*Assumptions!$B$3,0)</f>
        <v>0</v>
      </c>
      <c r="J30" s="10">
        <f>IF($A30-Assumptions!$B$13&lt;0,0,(Assumptions!$B$17*12*Assumptions!$B$16*Assumptions!$B$8)*(1+Assumptions!$B$9)^($A30-Assumptions!$B$13))</f>
        <v>486416.02371078817</v>
      </c>
      <c r="K30" s="10">
        <f>IF(J30=0,0,-J30*Assumptions!$B$7)</f>
        <v>-194566.40948431529</v>
      </c>
      <c r="L30" s="10">
        <f>-D30</f>
        <v>0</v>
      </c>
      <c r="M30" s="10">
        <f>SUM(I30:L30)</f>
        <v>291849.6142264729</v>
      </c>
    </row>
    <row r="31" spans="1:13" ht="12.75">
      <c r="A31" s="21">
        <f>Assumptions!$H31</f>
        <v>2044</v>
      </c>
      <c r="B31" s="10">
        <f>IF(A31=Assumptions!$B$12,Assumptions!$B$14*(1-Assumptions!$B$3),G30)</f>
        <v>0</v>
      </c>
      <c r="C31" s="10">
        <f>'Project 2'!J31</f>
        <v>0</v>
      </c>
      <c r="D31" s="10">
        <f>IF(B31&lt;1,0,IF(A31=Assumptions!$B$12,Assumptions!$B$18*Assumptions!$B$22,IF(Assumptions!$C$19="Y",IF(A31&gt;Assumptions!$C$12,Assumptions!$B$24,Assumptions!$B$22),Assumptions!$B$22)))</f>
        <v>0</v>
      </c>
      <c r="E31" s="10">
        <f>D31-F31</f>
        <v>0</v>
      </c>
      <c r="F31" s="10">
        <f>IF(B31=0,0,IF(D31&lt;Assumptions!$B$22,Assumptions!$B$18*Assumptions!$B$15*B31,B31*Assumptions!$B$15))</f>
        <v>0</v>
      </c>
      <c r="G31" s="10">
        <f>B31+C31-E31</f>
        <v>0</v>
      </c>
      <c r="I31" s="10">
        <f>IF(A31=Assumptions!$B$12,-Assumptions!$B$14*Assumptions!$B$3,0)</f>
        <v>0</v>
      </c>
      <c r="J31" s="10">
        <f>IF($A31-Assumptions!$B$13&lt;0,0,(Assumptions!$B$17*12*Assumptions!$B$16*Assumptions!$B$8)*(1+Assumptions!$B$9)^($A31-Assumptions!$B$13))</f>
        <v>510736.82489632757</v>
      </c>
      <c r="K31" s="10">
        <f>IF(J31=0,0,-J31*Assumptions!$B$7)</f>
        <v>-204294.72995853104</v>
      </c>
      <c r="L31" s="10">
        <f>-D31</f>
        <v>0</v>
      </c>
      <c r="M31" s="10">
        <f>SUM(I31:L31)</f>
        <v>306442.09493779653</v>
      </c>
    </row>
    <row r="32" spans="1:13" ht="12.75">
      <c r="A32" s="21">
        <f>Assumptions!$H32</f>
        <v>2045</v>
      </c>
      <c r="B32" s="10">
        <f>IF(A32=Assumptions!$B$12,Assumptions!$B$14*(1-Assumptions!$B$3),G31)</f>
        <v>0</v>
      </c>
      <c r="C32" s="10">
        <f>'Project 2'!J32</f>
        <v>0</v>
      </c>
      <c r="D32" s="10">
        <f>IF(B32&lt;1,0,IF(A32=Assumptions!$B$12,Assumptions!$B$18*Assumptions!$B$22,IF(Assumptions!$C$19="Y",IF(A32&gt;Assumptions!$C$12,Assumptions!$B$24,Assumptions!$B$22),Assumptions!$B$22)))</f>
        <v>0</v>
      </c>
      <c r="E32" s="10">
        <f>D32-F32</f>
        <v>0</v>
      </c>
      <c r="F32" s="10">
        <f>IF(B32=0,0,IF(D32&lt;Assumptions!$B$22,Assumptions!$B$18*Assumptions!$B$15*B32,B32*Assumptions!$B$15))</f>
        <v>0</v>
      </c>
      <c r="G32" s="10">
        <f>B32+C32-E32</f>
        <v>0</v>
      </c>
      <c r="I32" s="10">
        <f>IF(A32=Assumptions!$B$12,-Assumptions!$B$14*Assumptions!$B$3,0)</f>
        <v>0</v>
      </c>
      <c r="J32" s="10">
        <f>IF($A32-Assumptions!$B$13&lt;0,0,(Assumptions!$B$17*12*Assumptions!$B$16*Assumptions!$B$8)*(1+Assumptions!$B$9)^($A32-Assumptions!$B$13))</f>
        <v>536273.666141144</v>
      </c>
      <c r="K32" s="10">
        <f>IF(J32=0,0,-J32*Assumptions!$B$7)</f>
        <v>-214509.46645645762</v>
      </c>
      <c r="L32" s="10">
        <f>-D32</f>
        <v>0</v>
      </c>
      <c r="M32" s="10">
        <f>SUM(I32:L32)</f>
        <v>321764.1996846864</v>
      </c>
    </row>
    <row r="33" spans="1:13" ht="12.75">
      <c r="A33" s="21">
        <f>Assumptions!$H33</f>
        <v>2046</v>
      </c>
      <c r="B33" s="10">
        <f>IF(A33=Assumptions!$B$12,Assumptions!$B$14*(1-Assumptions!$B$3),G32)</f>
        <v>0</v>
      </c>
      <c r="C33" s="10">
        <f>'Project 2'!J33</f>
        <v>0</v>
      </c>
      <c r="D33" s="10">
        <f>IF(B33&lt;1,0,IF(A33=Assumptions!$B$12,Assumptions!$B$18*Assumptions!$B$22,IF(Assumptions!$C$19="Y",IF(A33&gt;Assumptions!$C$12,Assumptions!$B$24,Assumptions!$B$22),Assumptions!$B$22)))</f>
        <v>0</v>
      </c>
      <c r="E33" s="10">
        <f>D33-F33</f>
        <v>0</v>
      </c>
      <c r="F33" s="10">
        <f>IF(B33=0,0,IF(D33&lt;Assumptions!$B$22,Assumptions!$B$18*Assumptions!$B$15*B33,B33*Assumptions!$B$15))</f>
        <v>0</v>
      </c>
      <c r="G33" s="10">
        <f>B33+C33-E33</f>
        <v>0</v>
      </c>
      <c r="I33" s="10">
        <f>IF(A33=Assumptions!$B$12,-Assumptions!$B$14*Assumptions!$B$3,0)</f>
        <v>0</v>
      </c>
      <c r="J33" s="10">
        <f>IF($A33-Assumptions!$B$13&lt;0,0,(Assumptions!$B$17*12*Assumptions!$B$16*Assumptions!$B$8)*(1+Assumptions!$B$9)^($A33-Assumptions!$B$13))</f>
        <v>563087.3494482012</v>
      </c>
      <c r="K33" s="10">
        <f>IF(J33=0,0,-J33*Assumptions!$B$7)</f>
        <v>-225234.9397792805</v>
      </c>
      <c r="L33" s="10">
        <f>-D33</f>
        <v>0</v>
      </c>
      <c r="M33" s="10">
        <f>SUM(I33:L33)</f>
        <v>337852.40966892074</v>
      </c>
    </row>
    <row r="34" spans="1:13" ht="12.75">
      <c r="A34" s="21">
        <f>Assumptions!$H34</f>
        <v>2047</v>
      </c>
      <c r="B34" s="10">
        <f>IF(A34=Assumptions!$B$12,Assumptions!$B$14*(1-Assumptions!$B$3),G33)</f>
        <v>0</v>
      </c>
      <c r="C34" s="10">
        <f>'Project 2'!J34</f>
        <v>0</v>
      </c>
      <c r="D34" s="10">
        <f>IF(B34&lt;1,0,IF(A34=Assumptions!$B$12,Assumptions!$B$18*Assumptions!$B$22,IF(Assumptions!$C$19="Y",IF(A34&gt;Assumptions!$C$12,Assumptions!$B$24,Assumptions!$B$22),Assumptions!$B$22)))</f>
        <v>0</v>
      </c>
      <c r="E34" s="10">
        <f>D34-F34</f>
        <v>0</v>
      </c>
      <c r="F34" s="10">
        <f>IF(B34=0,0,IF(D34&lt;Assumptions!$B$22,Assumptions!$B$18*Assumptions!$B$15*B34,B34*Assumptions!$B$15))</f>
        <v>0</v>
      </c>
      <c r="G34" s="10">
        <f>B34+C34-E34</f>
        <v>0</v>
      </c>
      <c r="I34" s="10">
        <f>IF(A34=Assumptions!$B$12,-Assumptions!$B$14*Assumptions!$B$3,0)</f>
        <v>0</v>
      </c>
      <c r="J34" s="10">
        <f>IF($A34-Assumptions!$B$13&lt;0,0,(Assumptions!$B$17*12*Assumptions!$B$16*Assumptions!$B$8)*(1+Assumptions!$B$9)^($A34-Assumptions!$B$13))</f>
        <v>591241.7169206113</v>
      </c>
      <c r="K34" s="10">
        <f>IF(J34=0,0,-J34*Assumptions!$B$7)</f>
        <v>-236496.68676824454</v>
      </c>
      <c r="L34" s="10">
        <f>-D34</f>
        <v>0</v>
      </c>
      <c r="M34" s="10">
        <f>SUM(I34:L34)</f>
        <v>354745.0301523668</v>
      </c>
    </row>
    <row r="35" spans="1:13" ht="12.75">
      <c r="A35" s="21">
        <f>Assumptions!$H35</f>
        <v>2048</v>
      </c>
      <c r="B35" s="10">
        <f>IF(A35=Assumptions!$B$12,Assumptions!$B$14*(1-Assumptions!$B$3),G34)</f>
        <v>0</v>
      </c>
      <c r="C35" s="10">
        <f>'Project 2'!J35</f>
        <v>0</v>
      </c>
      <c r="D35" s="10">
        <f>IF(B35&lt;1,0,IF(A35=Assumptions!$B$12,Assumptions!$B$18*Assumptions!$B$22,IF(Assumptions!$C$19="Y",IF(A35&gt;Assumptions!$C$12,Assumptions!$B$24,Assumptions!$B$22),Assumptions!$B$22)))</f>
        <v>0</v>
      </c>
      <c r="E35" s="10">
        <f>D35-F35</f>
        <v>0</v>
      </c>
      <c r="F35" s="10">
        <f>IF(B35=0,0,IF(D35&lt;Assumptions!$B$22,Assumptions!$B$18*Assumptions!$B$15*B35,B35*Assumptions!$B$15))</f>
        <v>0</v>
      </c>
      <c r="G35" s="10">
        <f>B35+C35-E35</f>
        <v>0</v>
      </c>
      <c r="I35" s="10">
        <f>IF(A35=Assumptions!$B$12,-Assumptions!$B$14*Assumptions!$B$3,0)</f>
        <v>0</v>
      </c>
      <c r="J35" s="10">
        <f>IF($A35-Assumptions!$B$13&lt;0,0,(Assumptions!$B$17*12*Assumptions!$B$16*Assumptions!$B$8)*(1+Assumptions!$B$9)^($A35-Assumptions!$B$13))</f>
        <v>620803.8027666418</v>
      </c>
      <c r="K35" s="10">
        <f>IF(J35=0,0,-J35*Assumptions!$B$7)</f>
        <v>-248321.52110665676</v>
      </c>
      <c r="L35" s="10">
        <f>-D35</f>
        <v>0</v>
      </c>
      <c r="M35" s="10">
        <f>SUM(I35:L35)</f>
        <v>372482.2816599851</v>
      </c>
    </row>
    <row r="36" spans="1:13" ht="12.75">
      <c r="A36" s="21">
        <f>Assumptions!$H36</f>
        <v>2049</v>
      </c>
      <c r="B36" s="10">
        <f>IF(A36=Assumptions!$B$12,Assumptions!$B$14*(1-Assumptions!$B$3),G35)</f>
        <v>0</v>
      </c>
      <c r="C36" s="10">
        <f>'Project 2'!J36</f>
        <v>0</v>
      </c>
      <c r="D36" s="10">
        <f>IF(B36&lt;1,0,IF(A36=Assumptions!$B$12,Assumptions!$B$18*Assumptions!$B$22,IF(Assumptions!$C$19="Y",IF(A36&gt;Assumptions!$C$12,Assumptions!$B$24,Assumptions!$B$22),Assumptions!$B$22)))</f>
        <v>0</v>
      </c>
      <c r="E36" s="10">
        <f>D36-F36</f>
        <v>0</v>
      </c>
      <c r="F36" s="10">
        <f>IF(B36=0,0,IF(D36&lt;Assumptions!$B$22,Assumptions!$B$18*Assumptions!$B$15*B36,B36*Assumptions!$B$15))</f>
        <v>0</v>
      </c>
      <c r="G36" s="10">
        <f>B36+C36-E36</f>
        <v>0</v>
      </c>
      <c r="I36" s="10">
        <f>IF(A36=Assumptions!$B$12,-Assumptions!$B$14*Assumptions!$B$3,0)</f>
        <v>0</v>
      </c>
      <c r="J36" s="10">
        <f>IF($A36-Assumptions!$B$13&lt;0,0,(Assumptions!$B$17*12*Assumptions!$B$16*Assumptions!$B$8)*(1+Assumptions!$B$9)^($A36-Assumptions!$B$13))</f>
        <v>651843.992904974</v>
      </c>
      <c r="K36" s="10">
        <f>IF(J36=0,0,-J36*Assumptions!$B$7)</f>
        <v>-260737.59716198963</v>
      </c>
      <c r="L36" s="10">
        <f>-D36</f>
        <v>0</v>
      </c>
      <c r="M36" s="10">
        <f>SUM(I36:L36)</f>
        <v>391106.3957429844</v>
      </c>
    </row>
    <row r="37" spans="1:13" ht="12.75">
      <c r="A37" s="21">
        <f>Assumptions!$H37</f>
        <v>2050</v>
      </c>
      <c r="B37" s="10">
        <f>IF(A37=Assumptions!$B$12,Assumptions!$B$14*(1-Assumptions!$B$3),G36)</f>
        <v>0</v>
      </c>
      <c r="C37" s="10">
        <f>'Project 2'!J37</f>
        <v>0</v>
      </c>
      <c r="D37" s="10">
        <f>IF(B37&lt;1,0,IF(A37=Assumptions!$B$12,Assumptions!$B$18*Assumptions!$B$22,IF(Assumptions!$C$19="Y",IF(A37&gt;Assumptions!$C$12,Assumptions!$B$24,Assumptions!$B$22),Assumptions!$B$22)))</f>
        <v>0</v>
      </c>
      <c r="E37" s="10">
        <f>D37-F37</f>
        <v>0</v>
      </c>
      <c r="F37" s="10">
        <f>IF(B37=0,0,IF(D37&lt;Assumptions!$B$22,Assumptions!$B$18*Assumptions!$B$15*B37,B37*Assumptions!$B$15))</f>
        <v>0</v>
      </c>
      <c r="G37" s="10">
        <f>B37+C37-E37</f>
        <v>0</v>
      </c>
      <c r="I37" s="10">
        <f>IF(A37=Assumptions!$B$12,-Assumptions!$B$14*Assumptions!$B$3,0)</f>
        <v>0</v>
      </c>
      <c r="J37" s="10">
        <f>IF($A37-Assumptions!$B$13&lt;0,0,(Assumptions!$B$17*12*Assumptions!$B$16*Assumptions!$B$8)*(1+Assumptions!$B$9)^($A37-Assumptions!$B$13))</f>
        <v>684436.1925502227</v>
      </c>
      <c r="K37" s="10">
        <f>IF(J37=0,0,-J37*Assumptions!$B$7)</f>
        <v>-273774.4770200891</v>
      </c>
      <c r="L37" s="10">
        <f>-D37</f>
        <v>0</v>
      </c>
      <c r="M37" s="10">
        <f>SUM(I37:L37)</f>
        <v>410661.71553013363</v>
      </c>
    </row>
    <row r="38" spans="1:9" ht="12.75">
      <c r="A38" s="22" t="s">
        <v>40</v>
      </c>
      <c r="B38" s="23"/>
      <c r="C38" s="23"/>
      <c r="D38" s="23"/>
      <c r="E38" s="23">
        <f>SUM(E3:E37)</f>
        <v>600000.0000000001</v>
      </c>
      <c r="F38" s="23">
        <f>SUM(F3:F37)</f>
        <v>392653.10250255244</v>
      </c>
      <c r="G38" s="23"/>
      <c r="H38" s="23"/>
      <c r="I38" s="23"/>
    </row>
  </sheetData>
  <sheetProtection selectLockedCells="1" selectUnlockedCells="1"/>
  <mergeCells count="2">
    <mergeCell ref="B1:G1"/>
    <mergeCell ref="I1:M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Zero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" sqref="J3"/>
    </sheetView>
  </sheetViews>
  <sheetFormatPr defaultColWidth="12.57421875" defaultRowHeight="12.75"/>
  <cols>
    <col min="1" max="1" width="7.7109375" style="16" customWidth="1"/>
    <col min="2" max="2" width="10.28125" style="10" customWidth="1"/>
    <col min="3" max="4" width="8.7109375" style="10" customWidth="1"/>
    <col min="5" max="5" width="10.28125" style="10" customWidth="1"/>
    <col min="6" max="6" width="8.7109375" style="10" customWidth="1"/>
    <col min="7" max="7" width="10.28125" style="10" customWidth="1"/>
    <col min="8" max="8" width="0.71875" style="10" customWidth="1"/>
    <col min="9" max="11" width="9.28125" style="10" customWidth="1"/>
    <col min="12" max="12" width="10.57421875" style="10" customWidth="1"/>
    <col min="13" max="14" width="9.28125" style="10" customWidth="1"/>
    <col min="15" max="16384" width="11.57421875" style="10" customWidth="1"/>
  </cols>
  <sheetData>
    <row r="1" spans="2:14" ht="12.75">
      <c r="B1" s="17" t="s">
        <v>29</v>
      </c>
      <c r="C1" s="17"/>
      <c r="D1" s="17"/>
      <c r="E1" s="17"/>
      <c r="F1" s="17"/>
      <c r="G1" s="17"/>
      <c r="I1" s="17" t="s">
        <v>30</v>
      </c>
      <c r="J1" s="17"/>
      <c r="K1" s="17"/>
      <c r="L1" s="17"/>
      <c r="M1" s="17"/>
      <c r="N1" s="17"/>
    </row>
    <row r="2" spans="1:14" ht="12.75">
      <c r="A2" s="18" t="s">
        <v>4</v>
      </c>
      <c r="B2" s="19" t="s">
        <v>31</v>
      </c>
      <c r="C2" s="20" t="s">
        <v>32</v>
      </c>
      <c r="D2" s="20" t="s">
        <v>33</v>
      </c>
      <c r="E2" s="19" t="s">
        <v>34</v>
      </c>
      <c r="F2" s="19" t="s">
        <v>35</v>
      </c>
      <c r="G2" s="19" t="s">
        <v>36</v>
      </c>
      <c r="H2" s="19"/>
      <c r="I2" s="20" t="s">
        <v>6</v>
      </c>
      <c r="J2" s="20" t="s">
        <v>41</v>
      </c>
      <c r="K2" s="19" t="s">
        <v>37</v>
      </c>
      <c r="L2" s="19" t="s">
        <v>38</v>
      </c>
      <c r="M2" s="20" t="s">
        <v>39</v>
      </c>
      <c r="N2" s="20" t="s">
        <v>30</v>
      </c>
    </row>
    <row r="3" spans="1:14" ht="12.75">
      <c r="A3" s="21">
        <f>Assumptions!$H3</f>
        <v>2016</v>
      </c>
      <c r="B3" s="10">
        <f>IF(A3=Assumptions!$C$12,Assumptions!$C$14*(1-Assumptions!$B$3),0)</f>
        <v>0</v>
      </c>
      <c r="C3" s="10">
        <f>'Project 3'!J3</f>
        <v>0</v>
      </c>
      <c r="D3" s="10">
        <f>IF(B3&lt;1,0,IF(A3=Assumptions!$C$12,Assumptions!$C$18*Assumptions!$C$22,IF(Assumptions!$D$19="Y",IF(A3&gt;Assumptions!$D$12,Assumptions!$C$24,Assumptions!$C$22),Assumptions!$C$22)))</f>
        <v>0</v>
      </c>
      <c r="E3" s="10">
        <f>D3-F3</f>
        <v>0</v>
      </c>
      <c r="F3" s="10">
        <f>IF(B3=0,0,IF(D3&lt;Assumptions!$C$22,Assumptions!$C$18*Assumptions!$C$15*B3,B3*Assumptions!$C$15))</f>
        <v>0</v>
      </c>
      <c r="G3" s="10">
        <f>B3+C3-E3</f>
        <v>0</v>
      </c>
      <c r="I3" s="10">
        <f>IF(A3=Assumptions!$C$12,-Assumptions!$C$14*Assumptions!$B$3,0)</f>
        <v>0</v>
      </c>
      <c r="J3" s="10">
        <f>IF(Assumptions!$C$19="Y",-I3,0)</f>
        <v>0</v>
      </c>
      <c r="K3" s="10">
        <f>IF($A3-Assumptions!$C$13&lt;0,0,(Assumptions!$C$17*12*Assumptions!$C$16*Assumptions!$B$8)*(1+Assumptions!$B$9)^($A3-Assumptions!$C$13))</f>
        <v>0</v>
      </c>
      <c r="L3" s="10">
        <f>IF(K3=0,0,-K3*Assumptions!$B$7)</f>
        <v>0</v>
      </c>
      <c r="M3" s="10">
        <f>-D3</f>
        <v>0</v>
      </c>
      <c r="N3" s="10">
        <f>SUM(I3:M3)</f>
        <v>0</v>
      </c>
    </row>
    <row r="4" spans="1:14" ht="12.75">
      <c r="A4" s="21">
        <f>Assumptions!$H4</f>
        <v>2017</v>
      </c>
      <c r="B4" s="10">
        <f>IF(A4=Assumptions!$C$12,Assumptions!$C$14*(1-Assumptions!$B$3),G3)</f>
        <v>0</v>
      </c>
      <c r="C4" s="10">
        <f>'Project 3'!J4</f>
        <v>0</v>
      </c>
      <c r="D4" s="10">
        <f>IF(B4&lt;1,0,IF(A4=Assumptions!$C$12,Assumptions!$C$18*Assumptions!$C$22,IF(Assumptions!$D$19="Y",IF(A4&gt;Assumptions!$D$12,Assumptions!$C$24,Assumptions!$C$22),Assumptions!$C$22)))</f>
        <v>0</v>
      </c>
      <c r="E4" s="10">
        <f>D4-F4</f>
        <v>0</v>
      </c>
      <c r="F4" s="10">
        <f>IF(B4=0,0,IF(D4&lt;Assumptions!$C$22,Assumptions!$C$18*Assumptions!$C$15*B4,B4*Assumptions!$C$15))</f>
        <v>0</v>
      </c>
      <c r="G4" s="10">
        <f>B4+C4-E4</f>
        <v>0</v>
      </c>
      <c r="I4" s="10">
        <f>IF(A4=Assumptions!$C$12,-Assumptions!$C$14*Assumptions!$B$3,0)</f>
        <v>0</v>
      </c>
      <c r="J4" s="10">
        <f>IF(Assumptions!$C$19="Y",-I4,0)</f>
        <v>0</v>
      </c>
      <c r="K4" s="10">
        <f>IF($A4-Assumptions!$C$13&lt;0,0,(Assumptions!$C$17*12*Assumptions!$C$16*Assumptions!$B$8)*(1+Assumptions!$B$9)^($A4-Assumptions!$C$13))</f>
        <v>0</v>
      </c>
      <c r="L4" s="10">
        <f>IF(K4=0,0,-K4*Assumptions!$B$7)</f>
        <v>0</v>
      </c>
      <c r="M4" s="10">
        <f>-D4</f>
        <v>0</v>
      </c>
      <c r="N4" s="10">
        <f>SUM(I4:M4)</f>
        <v>0</v>
      </c>
    </row>
    <row r="5" spans="1:14" ht="12.75">
      <c r="A5" s="21">
        <f>Assumptions!$H5</f>
        <v>2018</v>
      </c>
      <c r="B5" s="10">
        <f>IF(A5=Assumptions!$C$12,Assumptions!$C$14*(1-Assumptions!$B$3),G4)</f>
        <v>800000</v>
      </c>
      <c r="C5" s="10">
        <f>'Project 3'!J5</f>
        <v>0</v>
      </c>
      <c r="D5" s="10">
        <f>IF(B5&lt;1,0,IF(A5=Assumptions!$C$12,Assumptions!$C$18*Assumptions!$C$22,IF(Assumptions!$D$19="Y",IF(A5&gt;Assumptions!$D$12,Assumptions!$C$24,Assumptions!$C$22),Assumptions!$C$22)))</f>
        <v>33471.73201397327</v>
      </c>
      <c r="E5" s="10">
        <f>D5-F5</f>
        <v>11471.73201397327</v>
      </c>
      <c r="F5" s="10">
        <f>IF(B5=0,0,IF(D5&lt;Assumptions!$C$22,Assumptions!$C$18*Assumptions!$C$15*B5,B5*Assumptions!$C$15))</f>
        <v>22000</v>
      </c>
      <c r="G5" s="10">
        <f>B5+C5-E5</f>
        <v>788528.2679860267</v>
      </c>
      <c r="I5" s="10">
        <f>IF(A5=Assumptions!$C$12,-Assumptions!$C$14*Assumptions!$B$3,0)</f>
        <v>-200000</v>
      </c>
      <c r="J5" s="10">
        <f>IF(Assumptions!$C$19="Y",-I5,0)</f>
        <v>200000</v>
      </c>
      <c r="K5" s="10">
        <f>IF($A5-Assumptions!$C$13&lt;0,0,(Assumptions!$C$17*12*Assumptions!$C$16*Assumptions!$B$8)*(1+Assumptions!$B$9)^($A5-Assumptions!$C$13))</f>
        <v>0</v>
      </c>
      <c r="L5" s="10">
        <f>IF(K5=0,0,-K5*Assumptions!$B$7)</f>
        <v>0</v>
      </c>
      <c r="M5" s="10">
        <f>-D5</f>
        <v>-33471.73201397327</v>
      </c>
      <c r="N5" s="10">
        <f>SUM(I5:M5)</f>
        <v>-33471.73201397326</v>
      </c>
    </row>
    <row r="6" spans="1:14" ht="12.75">
      <c r="A6" s="21">
        <f>Assumptions!$H6</f>
        <v>2019</v>
      </c>
      <c r="B6" s="10">
        <f>IF(A6=Assumptions!$C$12,Assumptions!$C$14*(1-Assumptions!$B$3),G5)</f>
        <v>788528.2679860267</v>
      </c>
      <c r="C6" s="10">
        <f>'Project 3'!J6</f>
        <v>0</v>
      </c>
      <c r="D6" s="10">
        <f>IF(B6&lt;1,0,IF(A6=Assumptions!$C$12,Assumptions!$C$18*Assumptions!$C$22,IF(Assumptions!$D$19="Y",IF(A6&gt;Assumptions!$D$12,Assumptions!$C$24,Assumptions!$C$22),Assumptions!$C$22)))</f>
        <v>66943.46402794654</v>
      </c>
      <c r="E6" s="10">
        <f>D6-F6</f>
        <v>23574.40928871507</v>
      </c>
      <c r="F6" s="10">
        <f>IF(B6=0,0,IF(D6&lt;Assumptions!$C$22,Assumptions!$C$18*Assumptions!$C$15*B6,B6*Assumptions!$C$15))</f>
        <v>43369.05473923147</v>
      </c>
      <c r="G6" s="10">
        <f>B6+C6-E6</f>
        <v>764953.8586973116</v>
      </c>
      <c r="I6" s="10">
        <f>IF(A6=Assumptions!$C$12,-Assumptions!$C$14*Assumptions!$B$3,0)</f>
        <v>0</v>
      </c>
      <c r="J6" s="10">
        <f>IF(Assumptions!$C$19="Y",-I6,0)</f>
        <v>0</v>
      </c>
      <c r="K6" s="10">
        <f>IF($A6-Assumptions!$C$13&lt;0,0,(Assumptions!$C$17*12*Assumptions!$C$16*Assumptions!$B$8)*(1+Assumptions!$B$9)^($A6-Assumptions!$C$13))</f>
        <v>239400.00000000003</v>
      </c>
      <c r="L6" s="10">
        <f>IF(K6=0,0,-K6*Assumptions!$B$7)</f>
        <v>-95760.00000000001</v>
      </c>
      <c r="M6" s="10">
        <f>-D6</f>
        <v>-66943.46402794654</v>
      </c>
      <c r="N6" s="10">
        <f>SUM(I6:M6)</f>
        <v>76696.53597205348</v>
      </c>
    </row>
    <row r="7" spans="1:14" ht="12.75">
      <c r="A7" s="21">
        <f>Assumptions!$H7</f>
        <v>2020</v>
      </c>
      <c r="B7" s="10">
        <f>IF(A7=Assumptions!$C$12,Assumptions!$C$14*(1-Assumptions!$B$3),G6)</f>
        <v>764953.8586973116</v>
      </c>
      <c r="C7" s="10">
        <f>'Project 3'!J7</f>
        <v>250000</v>
      </c>
      <c r="D7" s="10">
        <f>IF(B7&lt;1,0,IF(A7=Assumptions!$C$12,Assumptions!$C$18*Assumptions!$C$22,IF(Assumptions!$D$19="Y",IF(A7&gt;Assumptions!$D$12,Assumptions!$C$24,Assumptions!$C$22),Assumptions!$C$22)))</f>
        <v>66943.46402794654</v>
      </c>
      <c r="E7" s="10">
        <f>D7-F7</f>
        <v>24871.0017995944</v>
      </c>
      <c r="F7" s="10">
        <f>IF(B7=0,0,IF(D7&lt;Assumptions!$C$22,Assumptions!$C$18*Assumptions!$C$15*B7,B7*Assumptions!$C$15))</f>
        <v>42072.46222835214</v>
      </c>
      <c r="G7" s="10">
        <f>B7+C7-E7</f>
        <v>990082.8568977172</v>
      </c>
      <c r="I7" s="10">
        <f>IF(A7=Assumptions!$C$12,-Assumptions!$C$14*Assumptions!$B$3,0)</f>
        <v>0</v>
      </c>
      <c r="J7" s="10">
        <f>IF(Assumptions!$C$19="Y",-I7,0)</f>
        <v>0</v>
      </c>
      <c r="K7" s="10">
        <f>IF($A7-Assumptions!$C$13&lt;0,0,(Assumptions!$C$17*12*Assumptions!$C$16*Assumptions!$B$8)*(1+Assumptions!$B$9)^($A7-Assumptions!$C$13))</f>
        <v>251370.00000000003</v>
      </c>
      <c r="L7" s="10">
        <f>IF(K7=0,0,-K7*Assumptions!$B$7)</f>
        <v>-100548.00000000001</v>
      </c>
      <c r="M7" s="10">
        <f>-D7</f>
        <v>-66943.46402794654</v>
      </c>
      <c r="N7" s="10">
        <f>SUM(I7:M7)</f>
        <v>83878.53597205348</v>
      </c>
    </row>
    <row r="8" spans="1:14" ht="12.75">
      <c r="A8" s="21">
        <f>Assumptions!$H8</f>
        <v>2021</v>
      </c>
      <c r="B8" s="10">
        <f>IF(A8=Assumptions!$C$12,Assumptions!$C$14*(1-Assumptions!$B$3),G7)</f>
        <v>990082.8568977172</v>
      </c>
      <c r="C8" s="10">
        <f>'Project 3'!J8</f>
        <v>0</v>
      </c>
      <c r="D8" s="10">
        <f>IF(B8&lt;1,0,IF(A8=Assumptions!$C$12,Assumptions!$C$18*Assumptions!$C$22,IF(Assumptions!$D$19="Y",IF(A8&gt;Assumptions!$D$12,Assumptions!$C$24,Assumptions!$C$22),Assumptions!$C$22)))</f>
        <v>82849.47014427358</v>
      </c>
      <c r="E8" s="10">
        <f>D8-F8</f>
        <v>28394.91301489913</v>
      </c>
      <c r="F8" s="10">
        <f>IF(B8=0,0,IF(D8&lt;Assumptions!$C$22,Assumptions!$C$18*Assumptions!$C$15*B8,B8*Assumptions!$C$15))</f>
        <v>54454.55712937445</v>
      </c>
      <c r="G8" s="10">
        <f>B8+C8-E8</f>
        <v>961687.9438828181</v>
      </c>
      <c r="I8" s="10">
        <f>IF(A8=Assumptions!$C$12,-Assumptions!$C$14*Assumptions!$B$3,0)</f>
        <v>0</v>
      </c>
      <c r="J8" s="10">
        <f>IF(Assumptions!$C$19="Y",-I8,0)</f>
        <v>0</v>
      </c>
      <c r="K8" s="10">
        <f>IF($A8-Assumptions!$C$13&lt;0,0,(Assumptions!$C$17*12*Assumptions!$C$16*Assumptions!$B$8)*(1+Assumptions!$B$9)^($A8-Assumptions!$C$13))</f>
        <v>263938.50000000006</v>
      </c>
      <c r="L8" s="10">
        <f>IF(K8=0,0,-K8*Assumptions!$B$7)</f>
        <v>-105575.40000000002</v>
      </c>
      <c r="M8" s="10">
        <f>-D8</f>
        <v>-82849.47014427358</v>
      </c>
      <c r="N8" s="10">
        <f>SUM(I8:M8)</f>
        <v>75513.62985572644</v>
      </c>
    </row>
    <row r="9" spans="1:14" ht="12.75">
      <c r="A9" s="21">
        <f>Assumptions!$H9</f>
        <v>2022</v>
      </c>
      <c r="B9" s="10">
        <f>IF(A9=Assumptions!$C$12,Assumptions!$C$14*(1-Assumptions!$B$3),G8)</f>
        <v>961687.9438828181</v>
      </c>
      <c r="C9" s="10">
        <f>'Project 3'!J9</f>
        <v>0</v>
      </c>
      <c r="D9" s="10">
        <f>IF(B9&lt;1,0,IF(A9=Assumptions!$C$12,Assumptions!$C$18*Assumptions!$C$22,IF(Assumptions!$D$19="Y",IF(A9&gt;Assumptions!$D$12,Assumptions!$C$24,Assumptions!$C$22),Assumptions!$C$22)))</f>
        <v>82849.47014427358</v>
      </c>
      <c r="E9" s="10">
        <f>D9-F9</f>
        <v>29956.633230718588</v>
      </c>
      <c r="F9" s="10">
        <f>IF(B9=0,0,IF(D9&lt;Assumptions!$C$22,Assumptions!$C$18*Assumptions!$C$15*B9,B9*Assumptions!$C$15))</f>
        <v>52892.836913554995</v>
      </c>
      <c r="G9" s="10">
        <f>B9+C9-E9</f>
        <v>931731.3106520995</v>
      </c>
      <c r="I9" s="10">
        <f>IF(A9=Assumptions!$C$12,-Assumptions!$C$14*Assumptions!$B$3,0)</f>
        <v>0</v>
      </c>
      <c r="J9" s="10">
        <f>IF(Assumptions!$C$19="Y",-I9,0)</f>
        <v>0</v>
      </c>
      <c r="K9" s="10">
        <f>IF($A9-Assumptions!$C$13&lt;0,0,(Assumptions!$C$17*12*Assumptions!$C$16*Assumptions!$B$8)*(1+Assumptions!$B$9)^($A9-Assumptions!$C$13))</f>
        <v>277135.42500000005</v>
      </c>
      <c r="L9" s="10">
        <f>IF(K9=0,0,-K9*Assumptions!$B$7)</f>
        <v>-110854.17000000003</v>
      </c>
      <c r="M9" s="10">
        <f>-D9</f>
        <v>-82849.47014427358</v>
      </c>
      <c r="N9" s="10">
        <f>SUM(I9:M9)</f>
        <v>83431.78485572644</v>
      </c>
    </row>
    <row r="10" spans="1:14" ht="12.75">
      <c r="A10" s="21">
        <f>Assumptions!$H10</f>
        <v>2023</v>
      </c>
      <c r="B10" s="10">
        <f>IF(A10=Assumptions!$C$12,Assumptions!$C$14*(1-Assumptions!$B$3),G9)</f>
        <v>931731.3106520995</v>
      </c>
      <c r="C10" s="10">
        <f>'Project 3'!J10</f>
        <v>0</v>
      </c>
      <c r="D10" s="10">
        <f>IF(B10&lt;1,0,IF(A10=Assumptions!$C$12,Assumptions!$C$18*Assumptions!$C$22,IF(Assumptions!$D$19="Y",IF(A10&gt;Assumptions!$D$12,Assumptions!$C$24,Assumptions!$C$22),Assumptions!$C$22)))</f>
        <v>82849.47014427358</v>
      </c>
      <c r="E10" s="10">
        <f>D10-F10</f>
        <v>31604.248058408106</v>
      </c>
      <c r="F10" s="10">
        <f>IF(B10=0,0,IF(D10&lt;Assumptions!$C$22,Assumptions!$C$18*Assumptions!$C$15*B10,B10*Assumptions!$C$15))</f>
        <v>51245.22208586548</v>
      </c>
      <c r="G10" s="10">
        <f>B10+C10-E10</f>
        <v>900127.0625936914</v>
      </c>
      <c r="I10" s="10">
        <f>IF(A10=Assumptions!$C$12,-Assumptions!$C$14*Assumptions!$B$3,0)</f>
        <v>0</v>
      </c>
      <c r="J10" s="10">
        <f>IF(Assumptions!$C$19="Y",-I10,0)</f>
        <v>0</v>
      </c>
      <c r="K10" s="10">
        <f>IF($A10-Assumptions!$C$13&lt;0,0,(Assumptions!$C$17*12*Assumptions!$C$16*Assumptions!$B$8)*(1+Assumptions!$B$9)^($A10-Assumptions!$C$13))</f>
        <v>290992.1962500001</v>
      </c>
      <c r="L10" s="10">
        <f>IF(K10=0,0,-K10*Assumptions!$B$7)</f>
        <v>-116396.87850000005</v>
      </c>
      <c r="M10" s="10">
        <f>-D10</f>
        <v>-82849.47014427358</v>
      </c>
      <c r="N10" s="10">
        <f>SUM(I10:M10)</f>
        <v>91745.84760572645</v>
      </c>
    </row>
    <row r="11" spans="1:14" ht="12.75">
      <c r="A11" s="21">
        <f>Assumptions!$H11</f>
        <v>2024</v>
      </c>
      <c r="B11" s="10">
        <f>IF(A11=Assumptions!$C$12,Assumptions!$C$14*(1-Assumptions!$B$3),G10)</f>
        <v>900127.0625936914</v>
      </c>
      <c r="C11" s="10">
        <f>'Project 3'!J11</f>
        <v>0</v>
      </c>
      <c r="D11" s="10">
        <f>IF(B11&lt;1,0,IF(A11=Assumptions!$C$12,Assumptions!$C$18*Assumptions!$C$22,IF(Assumptions!$D$19="Y",IF(A11&gt;Assumptions!$D$12,Assumptions!$C$24,Assumptions!$C$22),Assumptions!$C$22)))</f>
        <v>82849.47014427358</v>
      </c>
      <c r="E11" s="10">
        <f>D11-F11</f>
        <v>33342.481701620556</v>
      </c>
      <c r="F11" s="10">
        <f>IF(B11=0,0,IF(D11&lt;Assumptions!$C$22,Assumptions!$C$18*Assumptions!$C$15*B11,B11*Assumptions!$C$15))</f>
        <v>49506.988442653026</v>
      </c>
      <c r="G11" s="10">
        <f>B11+C11-E11</f>
        <v>866784.5808920709</v>
      </c>
      <c r="I11" s="10">
        <f>IF(A11=Assumptions!$C$12,-Assumptions!$C$14*Assumptions!$B$3,0)</f>
        <v>0</v>
      </c>
      <c r="J11" s="10">
        <f>IF(Assumptions!$C$19="Y",-I11,0)</f>
        <v>0</v>
      </c>
      <c r="K11" s="10">
        <f>IF($A11-Assumptions!$C$13&lt;0,0,(Assumptions!$C$17*12*Assumptions!$C$16*Assumptions!$B$8)*(1+Assumptions!$B$9)^($A11-Assumptions!$C$13))</f>
        <v>305541.8060625001</v>
      </c>
      <c r="L11" s="10">
        <f>IF(K11=0,0,-K11*Assumptions!$B$7)</f>
        <v>-122216.72242500004</v>
      </c>
      <c r="M11" s="10">
        <f>-D11</f>
        <v>-82849.47014427358</v>
      </c>
      <c r="N11" s="10">
        <f>SUM(I11:M11)</f>
        <v>100475.61349322647</v>
      </c>
    </row>
    <row r="12" spans="1:14" ht="12.75">
      <c r="A12" s="21">
        <f>Assumptions!$H12</f>
        <v>2025</v>
      </c>
      <c r="B12" s="10">
        <f>IF(A12=Assumptions!$C$12,Assumptions!$C$14*(1-Assumptions!$B$3),G11)</f>
        <v>866784.5808920709</v>
      </c>
      <c r="C12" s="10">
        <f>'Project 3'!J12</f>
        <v>0</v>
      </c>
      <c r="D12" s="10">
        <f>IF(B12&lt;1,0,IF(A12=Assumptions!$C$12,Assumptions!$C$18*Assumptions!$C$22,IF(Assumptions!$D$19="Y",IF(A12&gt;Assumptions!$D$12,Assumptions!$C$24,Assumptions!$C$22),Assumptions!$C$22)))</f>
        <v>82849.47014427358</v>
      </c>
      <c r="E12" s="10">
        <f>D12-F12</f>
        <v>35176.318195209686</v>
      </c>
      <c r="F12" s="10">
        <f>IF(B12=0,0,IF(D12&lt;Assumptions!$C$22,Assumptions!$C$18*Assumptions!$C$15*B12,B12*Assumptions!$C$15))</f>
        <v>47673.1519490639</v>
      </c>
      <c r="G12" s="10">
        <f>B12+C12-E12</f>
        <v>831608.2626968612</v>
      </c>
      <c r="I12" s="10">
        <f>IF(A12=Assumptions!$C$12,-Assumptions!$C$14*Assumptions!$B$3,0)</f>
        <v>0</v>
      </c>
      <c r="J12" s="10">
        <f>IF(Assumptions!$C$19="Y",-I12,0)</f>
        <v>0</v>
      </c>
      <c r="K12" s="10">
        <f>IF($A12-Assumptions!$C$13&lt;0,0,(Assumptions!$C$17*12*Assumptions!$C$16*Assumptions!$B$8)*(1+Assumptions!$B$9)^($A12-Assumptions!$C$13))</f>
        <v>320818.89636562514</v>
      </c>
      <c r="L12" s="10">
        <f>IF(K12=0,0,-K12*Assumptions!$B$7)</f>
        <v>-128327.55854625006</v>
      </c>
      <c r="M12" s="10">
        <f>-D12</f>
        <v>-82849.47014427358</v>
      </c>
      <c r="N12" s="10">
        <f>SUM(I12:M12)</f>
        <v>109641.8676751015</v>
      </c>
    </row>
    <row r="13" spans="1:14" ht="12.75">
      <c r="A13" s="21">
        <f>Assumptions!$H13</f>
        <v>2026</v>
      </c>
      <c r="B13" s="10">
        <f>IF(A13=Assumptions!$C$12,Assumptions!$C$14*(1-Assumptions!$B$3),G12)</f>
        <v>831608.2626968612</v>
      </c>
      <c r="C13" s="10">
        <f>'Project 3'!J13</f>
        <v>0</v>
      </c>
      <c r="D13" s="10">
        <f>IF(B13&lt;1,0,IF(A13=Assumptions!$C$12,Assumptions!$C$18*Assumptions!$C$22,IF(Assumptions!$D$19="Y",IF(A13&gt;Assumptions!$D$12,Assumptions!$C$24,Assumptions!$C$22),Assumptions!$C$22)))</f>
        <v>82849.47014427358</v>
      </c>
      <c r="E13" s="10">
        <f>D13-F13</f>
        <v>37111.01569594622</v>
      </c>
      <c r="F13" s="10">
        <f>IF(B13=0,0,IF(D13&lt;Assumptions!$C$22,Assumptions!$C$18*Assumptions!$C$15*B13,B13*Assumptions!$C$15))</f>
        <v>45738.454448327364</v>
      </c>
      <c r="G13" s="10">
        <f>B13+C13-E13</f>
        <v>794497.247000915</v>
      </c>
      <c r="I13" s="10">
        <f>IF(A13=Assumptions!$C$12,-Assumptions!$C$14*Assumptions!$B$3,0)</f>
        <v>0</v>
      </c>
      <c r="J13" s="10">
        <f>IF(Assumptions!$C$19="Y",-I13,0)</f>
        <v>0</v>
      </c>
      <c r="K13" s="10">
        <f>IF($A13-Assumptions!$C$13&lt;0,0,(Assumptions!$C$17*12*Assumptions!$C$16*Assumptions!$B$8)*(1+Assumptions!$B$9)^($A13-Assumptions!$C$13))</f>
        <v>336859.8411839064</v>
      </c>
      <c r="L13" s="10">
        <f>IF(K13=0,0,-K13*Assumptions!$B$7)</f>
        <v>-134743.9364735626</v>
      </c>
      <c r="M13" s="10">
        <f>-D13</f>
        <v>-82849.47014427358</v>
      </c>
      <c r="N13" s="10">
        <f>SUM(I13:M13)</f>
        <v>119266.43456607027</v>
      </c>
    </row>
    <row r="14" spans="1:14" ht="12.75">
      <c r="A14" s="21">
        <f>Assumptions!$H14</f>
        <v>2027</v>
      </c>
      <c r="B14" s="10">
        <f>IF(A14=Assumptions!$C$12,Assumptions!$C$14*(1-Assumptions!$B$3),G13)</f>
        <v>794497.247000915</v>
      </c>
      <c r="C14" s="10">
        <f>'Project 3'!J14</f>
        <v>0</v>
      </c>
      <c r="D14" s="10">
        <f>IF(B14&lt;1,0,IF(A14=Assumptions!$C$12,Assumptions!$C$18*Assumptions!$C$22,IF(Assumptions!$D$19="Y",IF(A14&gt;Assumptions!$D$12,Assumptions!$C$24,Assumptions!$C$22),Assumptions!$C$22)))</f>
        <v>82849.47014427358</v>
      </c>
      <c r="E14" s="10">
        <f>D14-F14</f>
        <v>39152.121559223255</v>
      </c>
      <c r="F14" s="10">
        <f>IF(B14=0,0,IF(D14&lt;Assumptions!$C$22,Assumptions!$C$18*Assumptions!$C$15*B14,B14*Assumptions!$C$15))</f>
        <v>43697.34858505033</v>
      </c>
      <c r="G14" s="10">
        <f>B14+C14-E14</f>
        <v>755345.1254416917</v>
      </c>
      <c r="I14" s="10">
        <f>IF(A14=Assumptions!$C$12,-Assumptions!$C$14*Assumptions!$B$3,0)</f>
        <v>0</v>
      </c>
      <c r="J14" s="10">
        <f>IF(Assumptions!$C$19="Y",-I14,0)</f>
        <v>0</v>
      </c>
      <c r="K14" s="10">
        <f>IF($A14-Assumptions!$C$13&lt;0,0,(Assumptions!$C$17*12*Assumptions!$C$16*Assumptions!$B$8)*(1+Assumptions!$B$9)^($A14-Assumptions!$C$13))</f>
        <v>353702.8332431017</v>
      </c>
      <c r="L14" s="10">
        <f>IF(K14=0,0,-K14*Assumptions!$B$7)</f>
        <v>-141481.13329724068</v>
      </c>
      <c r="M14" s="10">
        <f>-D14</f>
        <v>-82849.47014427358</v>
      </c>
      <c r="N14" s="10">
        <f>SUM(I14:M14)</f>
        <v>129372.22980158747</v>
      </c>
    </row>
    <row r="15" spans="1:14" ht="12.75">
      <c r="A15" s="21">
        <f>Assumptions!$H15</f>
        <v>2028</v>
      </c>
      <c r="B15" s="10">
        <f>IF(A15=Assumptions!$C$12,Assumptions!$C$14*(1-Assumptions!$B$3),G14)</f>
        <v>755345.1254416917</v>
      </c>
      <c r="C15" s="10">
        <f>'Project 3'!J15</f>
        <v>0</v>
      </c>
      <c r="D15" s="10">
        <f>IF(B15&lt;1,0,IF(A15=Assumptions!$C$12,Assumptions!$C$18*Assumptions!$C$22,IF(Assumptions!$D$19="Y",IF(A15&gt;Assumptions!$D$12,Assumptions!$C$24,Assumptions!$C$22),Assumptions!$C$22)))</f>
        <v>82849.47014427358</v>
      </c>
      <c r="E15" s="10">
        <f>D15-F15</f>
        <v>41305.48824498054</v>
      </c>
      <c r="F15" s="10">
        <f>IF(B15=0,0,IF(D15&lt;Assumptions!$C$22,Assumptions!$C$18*Assumptions!$C$15*B15,B15*Assumptions!$C$15))</f>
        <v>41543.981899293045</v>
      </c>
      <c r="G15" s="10">
        <f>B15+C15-E15</f>
        <v>714039.6371967111</v>
      </c>
      <c r="I15" s="10">
        <f>IF(A15=Assumptions!$C$12,-Assumptions!$C$14*Assumptions!$B$3,0)</f>
        <v>0</v>
      </c>
      <c r="J15" s="10">
        <f>IF(Assumptions!$C$19="Y",-I15,0)</f>
        <v>0</v>
      </c>
      <c r="K15" s="10">
        <f>IF($A15-Assumptions!$C$13&lt;0,0,(Assumptions!$C$17*12*Assumptions!$C$16*Assumptions!$B$8)*(1+Assumptions!$B$9)^($A15-Assumptions!$C$13))</f>
        <v>371387.9749052568</v>
      </c>
      <c r="L15" s="10">
        <f>IF(K15=0,0,-K15*Assumptions!$B$7)</f>
        <v>-148555.18996210274</v>
      </c>
      <c r="M15" s="10">
        <f>-D15</f>
        <v>-82849.47014427358</v>
      </c>
      <c r="N15" s="10">
        <f>SUM(I15:M15)</f>
        <v>139983.31479888048</v>
      </c>
    </row>
    <row r="16" spans="1:14" ht="12.75">
      <c r="A16" s="21">
        <f>Assumptions!$H16</f>
        <v>2029</v>
      </c>
      <c r="B16" s="10">
        <f>IF(A16=Assumptions!$C$12,Assumptions!$C$14*(1-Assumptions!$B$3),G15)</f>
        <v>714039.6371967111</v>
      </c>
      <c r="C16" s="10">
        <f>'Project 3'!J16</f>
        <v>0</v>
      </c>
      <c r="D16" s="10">
        <f>IF(B16&lt;1,0,IF(A16=Assumptions!$C$12,Assumptions!$C$18*Assumptions!$C$22,IF(Assumptions!$D$19="Y",IF(A16&gt;Assumptions!$D$12,Assumptions!$C$24,Assumptions!$C$22),Assumptions!$C$22)))</f>
        <v>82849.47014427358</v>
      </c>
      <c r="E16" s="10">
        <f>D16-F16</f>
        <v>43577.29009845447</v>
      </c>
      <c r="F16" s="10">
        <f>IF(B16=0,0,IF(D16&lt;Assumptions!$C$22,Assumptions!$C$18*Assumptions!$C$15*B16,B16*Assumptions!$C$15))</f>
        <v>39272.180045819114</v>
      </c>
      <c r="G16" s="10">
        <f>B16+C16-E16</f>
        <v>670462.3470982567</v>
      </c>
      <c r="I16" s="10">
        <f>IF(A16=Assumptions!$C$12,-Assumptions!$C$14*Assumptions!$B$3,0)</f>
        <v>0</v>
      </c>
      <c r="J16" s="10">
        <f>IF(Assumptions!$C$19="Y",-I16,0)</f>
        <v>0</v>
      </c>
      <c r="K16" s="10">
        <f>IF($A16-Assumptions!$C$13&lt;0,0,(Assumptions!$C$17*12*Assumptions!$C$16*Assumptions!$B$8)*(1+Assumptions!$B$9)^($A16-Assumptions!$C$13))</f>
        <v>389957.37365051964</v>
      </c>
      <c r="L16" s="10">
        <f>IF(K16=0,0,-K16*Assumptions!$B$7)</f>
        <v>-155982.94946020786</v>
      </c>
      <c r="M16" s="10">
        <f>-D16</f>
        <v>-82849.47014427358</v>
      </c>
      <c r="N16" s="10">
        <f>SUM(I16:M16)</f>
        <v>151124.9540460382</v>
      </c>
    </row>
    <row r="17" spans="1:14" ht="12.75">
      <c r="A17" s="21">
        <f>Assumptions!$H17</f>
        <v>2030</v>
      </c>
      <c r="B17" s="10">
        <f>IF(A17=Assumptions!$C$12,Assumptions!$C$14*(1-Assumptions!$B$3),G16)</f>
        <v>670462.3470982567</v>
      </c>
      <c r="C17" s="10">
        <f>'Project 3'!J17</f>
        <v>0</v>
      </c>
      <c r="D17" s="10">
        <f>IF(B17&lt;1,0,IF(A17=Assumptions!$C$12,Assumptions!$C$18*Assumptions!$C$22,IF(Assumptions!$D$19="Y",IF(A17&gt;Assumptions!$D$12,Assumptions!$C$24,Assumptions!$C$22),Assumptions!$C$22)))</f>
        <v>82849.47014427358</v>
      </c>
      <c r="E17" s="10">
        <f>D17-F17</f>
        <v>45974.04105386946</v>
      </c>
      <c r="F17" s="10">
        <f>IF(B17=0,0,IF(D17&lt;Assumptions!$C$22,Assumptions!$C$18*Assumptions!$C$15*B17,B17*Assumptions!$C$15))</f>
        <v>36875.42909040412</v>
      </c>
      <c r="G17" s="10">
        <f>B17+C17-E17</f>
        <v>624488.3060443873</v>
      </c>
      <c r="I17" s="10">
        <f>IF(A17=Assumptions!$C$12,-Assumptions!$C$14*Assumptions!$B$3,0)</f>
        <v>0</v>
      </c>
      <c r="J17" s="10">
        <f>IF(Assumptions!$C$19="Y",-I17,0)</f>
        <v>0</v>
      </c>
      <c r="K17" s="10">
        <f>IF($A17-Assumptions!$C$13&lt;0,0,(Assumptions!$C$17*12*Assumptions!$C$16*Assumptions!$B$8)*(1+Assumptions!$B$9)^($A17-Assumptions!$C$13))</f>
        <v>409455.2423330457</v>
      </c>
      <c r="L17" s="10">
        <f>IF(K17=0,0,-K17*Assumptions!$B$7)</f>
        <v>-163782.0969332183</v>
      </c>
      <c r="M17" s="10">
        <f>-D17</f>
        <v>-82849.47014427358</v>
      </c>
      <c r="N17" s="10">
        <f>SUM(I17:M17)</f>
        <v>162823.6752555538</v>
      </c>
    </row>
    <row r="18" spans="1:14" ht="12.75">
      <c r="A18" s="21">
        <f>Assumptions!$H18</f>
        <v>2031</v>
      </c>
      <c r="B18" s="10">
        <f>IF(A18=Assumptions!$C$12,Assumptions!$C$14*(1-Assumptions!$B$3),G17)</f>
        <v>624488.3060443873</v>
      </c>
      <c r="C18" s="10">
        <f>'Project 3'!J18</f>
        <v>0</v>
      </c>
      <c r="D18" s="10">
        <f>IF(B18&lt;1,0,IF(A18=Assumptions!$C$12,Assumptions!$C$18*Assumptions!$C$22,IF(Assumptions!$D$19="Y",IF(A18&gt;Assumptions!$D$12,Assumptions!$C$24,Assumptions!$C$22),Assumptions!$C$22)))</f>
        <v>82849.47014427358</v>
      </c>
      <c r="E18" s="10">
        <f>D18-F18</f>
        <v>48502.61331183228</v>
      </c>
      <c r="F18" s="10">
        <f>IF(B18=0,0,IF(D18&lt;Assumptions!$C$22,Assumptions!$C$18*Assumptions!$C$15*B18,B18*Assumptions!$C$15))</f>
        <v>34346.8568324413</v>
      </c>
      <c r="G18" s="10">
        <f>B18+C18-E18</f>
        <v>575985.692732555</v>
      </c>
      <c r="I18" s="10">
        <f>IF(A18=Assumptions!$C$12,-Assumptions!$C$14*Assumptions!$B$3,0)</f>
        <v>0</v>
      </c>
      <c r="J18" s="10">
        <f>IF(Assumptions!$C$19="Y",-I18,0)</f>
        <v>0</v>
      </c>
      <c r="K18" s="10">
        <f>IF($A18-Assumptions!$C$13&lt;0,0,(Assumptions!$C$17*12*Assumptions!$C$16*Assumptions!$B$8)*(1+Assumptions!$B$9)^($A18-Assumptions!$C$13))</f>
        <v>429928.00444969797</v>
      </c>
      <c r="L18" s="10">
        <f>IF(K18=0,0,-K18*Assumptions!$B$7)</f>
        <v>-171971.2017798792</v>
      </c>
      <c r="M18" s="10">
        <f>-D18</f>
        <v>-82849.47014427358</v>
      </c>
      <c r="N18" s="10">
        <f>SUM(I18:M18)</f>
        <v>175107.3325255452</v>
      </c>
    </row>
    <row r="19" spans="1:14" ht="12.75">
      <c r="A19" s="21">
        <f>Assumptions!$H19</f>
        <v>2032</v>
      </c>
      <c r="B19" s="10">
        <f>IF(A19=Assumptions!$C$12,Assumptions!$C$14*(1-Assumptions!$B$3),G18)</f>
        <v>575985.692732555</v>
      </c>
      <c r="C19" s="10">
        <f>'Project 3'!J19</f>
        <v>0</v>
      </c>
      <c r="D19" s="10">
        <f>IF(B19&lt;1,0,IF(A19=Assumptions!$C$12,Assumptions!$C$18*Assumptions!$C$22,IF(Assumptions!$D$19="Y",IF(A19&gt;Assumptions!$D$12,Assumptions!$C$24,Assumptions!$C$22),Assumptions!$C$22)))</f>
        <v>82849.47014427358</v>
      </c>
      <c r="E19" s="10">
        <f>D19-F19</f>
        <v>51170.25704398306</v>
      </c>
      <c r="F19" s="10">
        <f>IF(B19=0,0,IF(D19&lt;Assumptions!$C$22,Assumptions!$C$18*Assumptions!$C$15*B19,B19*Assumptions!$C$15))</f>
        <v>31679.213100290523</v>
      </c>
      <c r="G19" s="10">
        <f>B19+C19-E19</f>
        <v>524815.4356885719</v>
      </c>
      <c r="I19" s="10">
        <f>IF(A19=Assumptions!$C$12,-Assumptions!$C$14*Assumptions!$B$3,0)</f>
        <v>0</v>
      </c>
      <c r="J19" s="10">
        <f>IF(Assumptions!$C$19="Y",-I19,0)</f>
        <v>0</v>
      </c>
      <c r="K19" s="10">
        <f>IF($A19-Assumptions!$C$13&lt;0,0,(Assumptions!$C$17*12*Assumptions!$C$16*Assumptions!$B$8)*(1+Assumptions!$B$9)^($A19-Assumptions!$C$13))</f>
        <v>451424.4046721829</v>
      </c>
      <c r="L19" s="10">
        <f>IF(K19=0,0,-K19*Assumptions!$B$7)</f>
        <v>-180569.76186887317</v>
      </c>
      <c r="M19" s="10">
        <f>-D19</f>
        <v>-82849.47014427358</v>
      </c>
      <c r="N19" s="10">
        <f>SUM(I19:M19)</f>
        <v>188005.17265903618</v>
      </c>
    </row>
    <row r="20" spans="1:14" ht="12.75">
      <c r="A20" s="21">
        <f>Assumptions!$H20</f>
        <v>2033</v>
      </c>
      <c r="B20" s="10">
        <f>IF(A20=Assumptions!$C$12,Assumptions!$C$14*(1-Assumptions!$B$3),G19)</f>
        <v>524815.4356885719</v>
      </c>
      <c r="C20" s="10">
        <f>'Project 3'!J20</f>
        <v>0</v>
      </c>
      <c r="D20" s="10">
        <f>IF(B20&lt;1,0,IF(A20=Assumptions!$C$12,Assumptions!$C$18*Assumptions!$C$22,IF(Assumptions!$D$19="Y",IF(A20&gt;Assumptions!$D$12,Assumptions!$C$24,Assumptions!$C$22),Assumptions!$C$22)))</f>
        <v>82849.47014427358</v>
      </c>
      <c r="E20" s="10">
        <f>D20-F20</f>
        <v>53984.62118140213</v>
      </c>
      <c r="F20" s="10">
        <f>IF(B20=0,0,IF(D20&lt;Assumptions!$C$22,Assumptions!$C$18*Assumptions!$C$15*B20,B20*Assumptions!$C$15))</f>
        <v>28864.848962871452</v>
      </c>
      <c r="G20" s="10">
        <f>B20+C20-E20</f>
        <v>470830.81450716977</v>
      </c>
      <c r="I20" s="10">
        <f>IF(A20=Assumptions!$C$12,-Assumptions!$C$14*Assumptions!$B$3,0)</f>
        <v>0</v>
      </c>
      <c r="J20" s="10">
        <f>IF(Assumptions!$C$19="Y",-I20,0)</f>
        <v>0</v>
      </c>
      <c r="K20" s="10">
        <f>IF($A20-Assumptions!$C$13&lt;0,0,(Assumptions!$C$17*12*Assumptions!$C$16*Assumptions!$B$8)*(1+Assumptions!$B$9)^($A20-Assumptions!$C$13))</f>
        <v>473995.6249057921</v>
      </c>
      <c r="L20" s="10">
        <f>IF(K20=0,0,-K20*Assumptions!$B$7)</f>
        <v>-189598.24996231686</v>
      </c>
      <c r="M20" s="10">
        <f>-D20</f>
        <v>-82849.47014427358</v>
      </c>
      <c r="N20" s="10">
        <f>SUM(I20:M20)</f>
        <v>201547.9047992017</v>
      </c>
    </row>
    <row r="21" spans="1:14" ht="12.75">
      <c r="A21" s="21">
        <f>Assumptions!$H21</f>
        <v>2034</v>
      </c>
      <c r="B21" s="10">
        <f>IF(A21=Assumptions!$C$12,Assumptions!$C$14*(1-Assumptions!$B$3),G20)</f>
        <v>470830.81450716977</v>
      </c>
      <c r="C21" s="10">
        <f>'Project 3'!J21</f>
        <v>0</v>
      </c>
      <c r="D21" s="10">
        <f>IF(B21&lt;1,0,IF(A21=Assumptions!$C$12,Assumptions!$C$18*Assumptions!$C$22,IF(Assumptions!$D$19="Y",IF(A21&gt;Assumptions!$D$12,Assumptions!$C$24,Assumptions!$C$22),Assumptions!$C$22)))</f>
        <v>82849.47014427358</v>
      </c>
      <c r="E21" s="10">
        <f>D21-F21</f>
        <v>56953.77534637925</v>
      </c>
      <c r="F21" s="10">
        <f>IF(B21=0,0,IF(D21&lt;Assumptions!$C$22,Assumptions!$C$18*Assumptions!$C$15*B21,B21*Assumptions!$C$15))</f>
        <v>25895.69479789434</v>
      </c>
      <c r="G21" s="10">
        <f>B21+C21-E21</f>
        <v>413877.0391607905</v>
      </c>
      <c r="I21" s="10">
        <f>IF(A21=Assumptions!$C$12,-Assumptions!$C$14*Assumptions!$B$3,0)</f>
        <v>0</v>
      </c>
      <c r="J21" s="10">
        <f>IF(Assumptions!$C$19="Y",-I21,0)</f>
        <v>0</v>
      </c>
      <c r="K21" s="10">
        <f>IF($A21-Assumptions!$C$13&lt;0,0,(Assumptions!$C$17*12*Assumptions!$C$16*Assumptions!$B$8)*(1+Assumptions!$B$9)^($A21-Assumptions!$C$13))</f>
        <v>497695.4061510817</v>
      </c>
      <c r="L21" s="10">
        <f>IF(K21=0,0,-K21*Assumptions!$B$7)</f>
        <v>-199078.1624604327</v>
      </c>
      <c r="M21" s="10">
        <f>-D21</f>
        <v>-82849.47014427358</v>
      </c>
      <c r="N21" s="10">
        <f>SUM(I21:M21)</f>
        <v>215767.77354637545</v>
      </c>
    </row>
    <row r="22" spans="1:14" ht="12.75">
      <c r="A22" s="21">
        <f>Assumptions!$H22</f>
        <v>2035</v>
      </c>
      <c r="B22" s="10">
        <f>IF(A22=Assumptions!$C$12,Assumptions!$C$14*(1-Assumptions!$B$3),G21)</f>
        <v>413877.0391607905</v>
      </c>
      <c r="C22" s="10">
        <f>'Project 3'!J22</f>
        <v>0</v>
      </c>
      <c r="D22" s="10">
        <f>IF(B22&lt;1,0,IF(A22=Assumptions!$C$12,Assumptions!$C$18*Assumptions!$C$22,IF(Assumptions!$D$19="Y",IF(A22&gt;Assumptions!$D$12,Assumptions!$C$24,Assumptions!$C$22),Assumptions!$C$22)))</f>
        <v>82849.47014427358</v>
      </c>
      <c r="E22" s="10">
        <f>D22-F22</f>
        <v>60086.2329904301</v>
      </c>
      <c r="F22" s="10">
        <f>IF(B22=0,0,IF(D22&lt;Assumptions!$C$22,Assumptions!$C$18*Assumptions!$C$15*B22,B22*Assumptions!$C$15))</f>
        <v>22763.237153843478</v>
      </c>
      <c r="G22" s="10">
        <f>B22+C22-E22</f>
        <v>353790.8061703604</v>
      </c>
      <c r="I22" s="10">
        <f>IF(A22=Assumptions!$C$12,-Assumptions!$C$14*Assumptions!$B$3,0)</f>
        <v>0</v>
      </c>
      <c r="J22" s="10">
        <f>IF(Assumptions!$C$19="Y",-I22,0)</f>
        <v>0</v>
      </c>
      <c r="K22" s="10">
        <f>IF($A22-Assumptions!$C$13&lt;0,0,(Assumptions!$C$17*12*Assumptions!$C$16*Assumptions!$B$8)*(1+Assumptions!$B$9)^($A22-Assumptions!$C$13))</f>
        <v>522580.1764586358</v>
      </c>
      <c r="L22" s="10">
        <f>IF(K22=0,0,-K22*Assumptions!$B$7)</f>
        <v>-209032.07058345433</v>
      </c>
      <c r="M22" s="10">
        <f>-D22</f>
        <v>-82849.47014427358</v>
      </c>
      <c r="N22" s="10">
        <f>SUM(I22:M22)</f>
        <v>230698.63573090784</v>
      </c>
    </row>
    <row r="23" spans="1:14" ht="12.75">
      <c r="A23" s="21">
        <f>Assumptions!$H23</f>
        <v>2036</v>
      </c>
      <c r="B23" s="10">
        <f>IF(A23=Assumptions!$C$12,Assumptions!$C$14*(1-Assumptions!$B$3),G22)</f>
        <v>353790.8061703604</v>
      </c>
      <c r="C23" s="10">
        <f>'Project 3'!J23</f>
        <v>0</v>
      </c>
      <c r="D23" s="10">
        <f>IF(B23&lt;1,0,IF(A23=Assumptions!$C$12,Assumptions!$C$18*Assumptions!$C$22,IF(Assumptions!$D$19="Y",IF(A23&gt;Assumptions!$D$12,Assumptions!$C$24,Assumptions!$C$22),Assumptions!$C$22)))</f>
        <v>82849.47014427358</v>
      </c>
      <c r="E23" s="10">
        <f>D23-F23</f>
        <v>63390.97580490376</v>
      </c>
      <c r="F23" s="10">
        <f>IF(B23=0,0,IF(D23&lt;Assumptions!$C$22,Assumptions!$C$18*Assumptions!$C$15*B23,B23*Assumptions!$C$15))</f>
        <v>19458.494339369823</v>
      </c>
      <c r="G23" s="10">
        <f>B23+C23-E23</f>
        <v>290399.83036545664</v>
      </c>
      <c r="I23" s="10">
        <f>IF(A23=Assumptions!$C$12,-Assumptions!$C$14*Assumptions!$B$3,0)</f>
        <v>0</v>
      </c>
      <c r="J23" s="10">
        <f>IF(Assumptions!$C$19="Y",-I23,0)</f>
        <v>0</v>
      </c>
      <c r="K23" s="10">
        <f>IF($A23-Assumptions!$C$13&lt;0,0,(Assumptions!$C$17*12*Assumptions!$C$16*Assumptions!$B$8)*(1+Assumptions!$B$9)^($A23-Assumptions!$C$13))</f>
        <v>548709.1852815676</v>
      </c>
      <c r="L23" s="10">
        <f>IF(K23=0,0,-K23*Assumptions!$B$7)</f>
        <v>-219483.67411262705</v>
      </c>
      <c r="M23" s="10">
        <f>-D23</f>
        <v>-82849.47014427358</v>
      </c>
      <c r="N23" s="10">
        <f>SUM(I23:M23)</f>
        <v>246376.04102466698</v>
      </c>
    </row>
    <row r="24" spans="1:14" ht="12.75">
      <c r="A24" s="21">
        <f>Assumptions!$H24</f>
        <v>2037</v>
      </c>
      <c r="B24" s="10">
        <f>IF(A24=Assumptions!$C$12,Assumptions!$C$14*(1-Assumptions!$B$3),G23)</f>
        <v>290399.83036545664</v>
      </c>
      <c r="C24" s="10">
        <f>'Project 3'!J24</f>
        <v>0</v>
      </c>
      <c r="D24" s="10">
        <f>IF(B24&lt;1,0,IF(A24=Assumptions!$C$12,Assumptions!$C$18*Assumptions!$C$22,IF(Assumptions!$D$19="Y",IF(A24&gt;Assumptions!$D$12,Assumptions!$C$24,Assumptions!$C$22),Assumptions!$C$22)))</f>
        <v>82849.47014427358</v>
      </c>
      <c r="E24" s="10">
        <f>D24-F24</f>
        <v>66877.47947417347</v>
      </c>
      <c r="F24" s="10">
        <f>IF(B24=0,0,IF(D24&lt;Assumptions!$C$22,Assumptions!$C$18*Assumptions!$C$15*B24,B24*Assumptions!$C$15))</f>
        <v>15971.990670100115</v>
      </c>
      <c r="G24" s="10">
        <f>B24+C24-E24</f>
        <v>223522.3508912832</v>
      </c>
      <c r="I24" s="10">
        <f>IF(A24=Assumptions!$C$12,-Assumptions!$C$14*Assumptions!$B$3,0)</f>
        <v>0</v>
      </c>
      <c r="J24" s="10">
        <f>IF(Assumptions!$C$19="Y",-I24,0)</f>
        <v>0</v>
      </c>
      <c r="K24" s="10">
        <f>IF($A24-Assumptions!$C$13&lt;0,0,(Assumptions!$C$17*12*Assumptions!$C$16*Assumptions!$B$8)*(1+Assumptions!$B$9)^($A24-Assumptions!$C$13))</f>
        <v>576144.6445456459</v>
      </c>
      <c r="L24" s="10">
        <f>IF(K24=0,0,-K24*Assumptions!$B$7)</f>
        <v>-230457.85781825837</v>
      </c>
      <c r="M24" s="10">
        <f>-D24</f>
        <v>-82849.47014427358</v>
      </c>
      <c r="N24" s="10">
        <f>SUM(I24:M24)</f>
        <v>262837.316583114</v>
      </c>
    </row>
    <row r="25" spans="1:14" ht="12.75">
      <c r="A25" s="21">
        <f>Assumptions!$H25</f>
        <v>2038</v>
      </c>
      <c r="B25" s="10">
        <f>IF(A25=Assumptions!$C$12,Assumptions!$C$14*(1-Assumptions!$B$3),G24)</f>
        <v>223522.3508912832</v>
      </c>
      <c r="C25" s="10">
        <f>'Project 3'!J25</f>
        <v>0</v>
      </c>
      <c r="D25" s="10">
        <f>IF(B25&lt;1,0,IF(A25=Assumptions!$C$12,Assumptions!$C$18*Assumptions!$C$22,IF(Assumptions!$D$19="Y",IF(A25&gt;Assumptions!$D$12,Assumptions!$C$24,Assumptions!$C$22),Assumptions!$C$22)))</f>
        <v>82849.47014427358</v>
      </c>
      <c r="E25" s="10">
        <f>D25-F25</f>
        <v>70555.740845253</v>
      </c>
      <c r="F25" s="10">
        <f>IF(B25=0,0,IF(D25&lt;Assumptions!$C$22,Assumptions!$C$18*Assumptions!$C$15*B25,B25*Assumptions!$C$15))</f>
        <v>12293.729299020575</v>
      </c>
      <c r="G25" s="10">
        <f>B25+C25-E25</f>
        <v>152966.6100460302</v>
      </c>
      <c r="I25" s="10">
        <f>IF(A25=Assumptions!$C$12,-Assumptions!$C$14*Assumptions!$B$3,0)</f>
        <v>0</v>
      </c>
      <c r="J25" s="10">
        <f>IF(Assumptions!$C$19="Y",-I25,0)</f>
        <v>0</v>
      </c>
      <c r="K25" s="10">
        <f>IF($A25-Assumptions!$C$13&lt;0,0,(Assumptions!$C$17*12*Assumptions!$C$16*Assumptions!$B$8)*(1+Assumptions!$B$9)^($A25-Assumptions!$C$13))</f>
        <v>604951.8767729284</v>
      </c>
      <c r="L25" s="10">
        <f>IF(K25=0,0,-K25*Assumptions!$B$7)</f>
        <v>-241980.75070917138</v>
      </c>
      <c r="M25" s="10">
        <f>-D25</f>
        <v>-82849.47014427358</v>
      </c>
      <c r="N25" s="10">
        <f>SUM(I25:M25)</f>
        <v>280121.65591948346</v>
      </c>
    </row>
    <row r="26" spans="1:14" ht="12.75">
      <c r="A26" s="21">
        <f>Assumptions!$H26</f>
        <v>2039</v>
      </c>
      <c r="B26" s="10">
        <f>IF(A26=Assumptions!$C$12,Assumptions!$C$14*(1-Assumptions!$B$3),G25)</f>
        <v>152966.6100460302</v>
      </c>
      <c r="C26" s="10">
        <f>'Project 3'!J26</f>
        <v>0</v>
      </c>
      <c r="D26" s="10">
        <f>IF(B26&lt;1,0,IF(A26=Assumptions!$C$12,Assumptions!$C$18*Assumptions!$C$22,IF(Assumptions!$D$19="Y",IF(A26&gt;Assumptions!$D$12,Assumptions!$C$24,Assumptions!$C$22),Assumptions!$C$22)))</f>
        <v>82849.47014427358</v>
      </c>
      <c r="E26" s="10">
        <f>D26-F26</f>
        <v>74436.30659174192</v>
      </c>
      <c r="F26" s="10">
        <f>IF(B26=0,0,IF(D26&lt;Assumptions!$C$22,Assumptions!$C$18*Assumptions!$C$15*B26,B26*Assumptions!$C$15))</f>
        <v>8413.163552531661</v>
      </c>
      <c r="G26" s="10">
        <f>B26+C26-E26</f>
        <v>78530.30345428828</v>
      </c>
      <c r="I26" s="10">
        <f>IF(A26=Assumptions!$C$12,-Assumptions!$C$14*Assumptions!$B$3,0)</f>
        <v>0</v>
      </c>
      <c r="J26" s="10">
        <f>IF(Assumptions!$C$19="Y",-I26,0)</f>
        <v>0</v>
      </c>
      <c r="K26" s="10">
        <f>IF($A26-Assumptions!$C$13&lt;0,0,(Assumptions!$C$17*12*Assumptions!$C$16*Assumptions!$B$8)*(1+Assumptions!$B$9)^($A26-Assumptions!$C$13))</f>
        <v>635199.4706115747</v>
      </c>
      <c r="L26" s="10">
        <f>IF(K26=0,0,-K26*Assumptions!$B$7)</f>
        <v>-254079.7882446299</v>
      </c>
      <c r="M26" s="10">
        <f>-D26</f>
        <v>-82849.47014427358</v>
      </c>
      <c r="N26" s="10">
        <f>SUM(I26:M26)</f>
        <v>298270.21222267125</v>
      </c>
    </row>
    <row r="27" spans="1:14" ht="12.75">
      <c r="A27" s="21">
        <f>Assumptions!$H27</f>
        <v>2040</v>
      </c>
      <c r="B27" s="10">
        <f>IF(A27=Assumptions!$C$12,Assumptions!$C$14*(1-Assumptions!$B$3),G26)</f>
        <v>78530.30345428828</v>
      </c>
      <c r="C27" s="10">
        <f>'Project 3'!J27</f>
        <v>0</v>
      </c>
      <c r="D27" s="10">
        <f>IF(B27&lt;1,0,IF(A27=Assumptions!$C$12,Assumptions!$C$18*Assumptions!$C$22,IF(Assumptions!$D$19="Y",IF(A27&gt;Assumptions!$D$12,Assumptions!$C$24,Assumptions!$C$22),Assumptions!$C$22)))</f>
        <v>82849.47014427358</v>
      </c>
      <c r="E27" s="10">
        <f>D27-F27</f>
        <v>78530.30345428773</v>
      </c>
      <c r="F27" s="10">
        <f>IF(B27=0,0,IF(D27&lt;Assumptions!$C$22,Assumptions!$C$18*Assumptions!$C$15*B27,B27*Assumptions!$C$15))</f>
        <v>4319.166689985856</v>
      </c>
      <c r="G27" s="10">
        <f>B27+C27-E27</f>
        <v>5.529727786779404E-10</v>
      </c>
      <c r="I27" s="10">
        <f>IF(A27=Assumptions!$C$12,-Assumptions!$C$14*Assumptions!$B$3,0)</f>
        <v>0</v>
      </c>
      <c r="J27" s="10">
        <f>IF(Assumptions!$C$19="Y",-I27,0)</f>
        <v>0</v>
      </c>
      <c r="K27" s="10">
        <f>IF($A27-Assumptions!$C$13&lt;0,0,(Assumptions!$C$17*12*Assumptions!$C$16*Assumptions!$B$8)*(1+Assumptions!$B$9)^($A27-Assumptions!$C$13))</f>
        <v>666959.4441421536</v>
      </c>
      <c r="L27" s="10">
        <f>IF(K27=0,0,-K27*Assumptions!$B$7)</f>
        <v>-266783.77765686146</v>
      </c>
      <c r="M27" s="10">
        <f>-D27</f>
        <v>-82849.47014427358</v>
      </c>
      <c r="N27" s="10">
        <f>SUM(I27:M27)</f>
        <v>317326.19634101854</v>
      </c>
    </row>
    <row r="28" spans="1:14" ht="12.75">
      <c r="A28" s="21">
        <f>Assumptions!$H28</f>
        <v>2041</v>
      </c>
      <c r="B28" s="10">
        <f>IF(A28=Assumptions!$C$12,Assumptions!$C$14*(1-Assumptions!$B$3),G27)</f>
        <v>5.529727786779404E-10</v>
      </c>
      <c r="C28" s="10">
        <f>'Project 3'!J28</f>
        <v>0</v>
      </c>
      <c r="D28" s="10">
        <f>IF(B28&lt;1,0,IF(A28=Assumptions!$C$12,Assumptions!$C$18*Assumptions!$C$22,IF(Assumptions!$D$19="Y",IF(A28&gt;Assumptions!$D$12,Assumptions!$C$24,Assumptions!$C$22),Assumptions!$C$22)))</f>
        <v>0</v>
      </c>
      <c r="E28" s="10">
        <f>D28-F28</f>
        <v>-1.520675141364336E-11</v>
      </c>
      <c r="F28" s="10">
        <f>IF(B28=0,0,IF(D28&lt;Assumptions!$C$22,Assumptions!$C$18*Assumptions!$C$15*B28,B28*Assumptions!$C$15))</f>
        <v>1.520675141364336E-11</v>
      </c>
      <c r="G28" s="10">
        <f>B28+C28-E28</f>
        <v>5.681795300915838E-10</v>
      </c>
      <c r="I28" s="10">
        <f>IF(A28=Assumptions!$C$12,-Assumptions!$C$14*Assumptions!$B$3,0)</f>
        <v>0</v>
      </c>
      <c r="J28" s="10">
        <f>IF(Assumptions!$C$19="Y",-I28,0)</f>
        <v>0</v>
      </c>
      <c r="K28" s="10">
        <f>IF($A28-Assumptions!$C$13&lt;0,0,(Assumptions!$C$17*12*Assumptions!$C$16*Assumptions!$B$8)*(1+Assumptions!$B$9)^($A28-Assumptions!$C$13))</f>
        <v>700307.4163492613</v>
      </c>
      <c r="L28" s="10">
        <f>IF(K28=0,0,-K28*Assumptions!$B$7)</f>
        <v>-280122.96653970453</v>
      </c>
      <c r="M28" s="10">
        <f>-D28</f>
        <v>0</v>
      </c>
      <c r="N28" s="10">
        <f>SUM(I28:M28)</f>
        <v>420184.44980955677</v>
      </c>
    </row>
    <row r="29" spans="1:14" ht="12.75">
      <c r="A29" s="21">
        <f>Assumptions!$H29</f>
        <v>2042</v>
      </c>
      <c r="B29" s="10">
        <f>IF(A29=Assumptions!$C$12,Assumptions!$C$14*(1-Assumptions!$B$3),G28)</f>
        <v>5.681795300915838E-10</v>
      </c>
      <c r="C29" s="10">
        <f>'Project 3'!J29</f>
        <v>0</v>
      </c>
      <c r="D29" s="10">
        <f>IF(B29&lt;1,0,IF(A29=Assumptions!$C$12,Assumptions!$C$18*Assumptions!$C$22,IF(Assumptions!$D$19="Y",IF(A29&gt;Assumptions!$D$12,Assumptions!$C$24,Assumptions!$C$22),Assumptions!$C$22)))</f>
        <v>0</v>
      </c>
      <c r="E29" s="10">
        <f>D29-F29</f>
        <v>-1.5624937077518553E-11</v>
      </c>
      <c r="F29" s="10">
        <f>IF(B29=0,0,IF(D29&lt;Assumptions!$C$22,Assumptions!$C$18*Assumptions!$C$15*B29,B29*Assumptions!$C$15))</f>
        <v>1.5624937077518553E-11</v>
      </c>
      <c r="G29" s="10">
        <f>B29+C29-E29</f>
        <v>5.838044671691023E-10</v>
      </c>
      <c r="I29" s="10">
        <f>IF(A29=Assumptions!$C$12,-Assumptions!$C$14*Assumptions!$B$3,0)</f>
        <v>0</v>
      </c>
      <c r="J29" s="10">
        <f>IF(Assumptions!$C$19="Y",-I29,0)</f>
        <v>0</v>
      </c>
      <c r="K29" s="10">
        <f>IF($A29-Assumptions!$C$13&lt;0,0,(Assumptions!$C$17*12*Assumptions!$C$16*Assumptions!$B$8)*(1+Assumptions!$B$9)^($A29-Assumptions!$C$13))</f>
        <v>735322.7871667243</v>
      </c>
      <c r="L29" s="10">
        <f>IF(K29=0,0,-K29*Assumptions!$B$7)</f>
        <v>-294129.1148666897</v>
      </c>
      <c r="M29" s="10">
        <f>-D29</f>
        <v>0</v>
      </c>
      <c r="N29" s="10">
        <f>SUM(I29:M29)</f>
        <v>441193.6723000346</v>
      </c>
    </row>
    <row r="30" spans="1:14" ht="12.75">
      <c r="A30" s="21">
        <f>Assumptions!$H30</f>
        <v>2043</v>
      </c>
      <c r="B30" s="10">
        <f>IF(A30=Assumptions!$C$12,Assumptions!$C$14*(1-Assumptions!$B$3),G29)</f>
        <v>5.838044671691023E-10</v>
      </c>
      <c r="C30" s="10">
        <f>'Project 3'!J30</f>
        <v>0</v>
      </c>
      <c r="D30" s="10">
        <f>IF(B30&lt;1,0,IF(A30=Assumptions!$C$12,Assumptions!$C$18*Assumptions!$C$22,IF(Assumptions!$D$19="Y",IF(A30&gt;Assumptions!$D$12,Assumptions!$C$24,Assumptions!$C$22),Assumptions!$C$22)))</f>
        <v>0</v>
      </c>
      <c r="E30" s="10">
        <f>D30-F30</f>
        <v>-1.6054622847150314E-11</v>
      </c>
      <c r="F30" s="10">
        <f>IF(B30=0,0,IF(D30&lt;Assumptions!$C$22,Assumptions!$C$18*Assumptions!$C$15*B30,B30*Assumptions!$C$15))</f>
        <v>1.6054622847150314E-11</v>
      </c>
      <c r="G30" s="10">
        <f>B30+C30-E30</f>
        <v>5.998590900162527E-10</v>
      </c>
      <c r="I30" s="10">
        <f>IF(A30=Assumptions!$C$12,-Assumptions!$C$14*Assumptions!$B$3,0)</f>
        <v>0</v>
      </c>
      <c r="J30" s="10">
        <f>IF(Assumptions!$C$19="Y",-I30,0)</f>
        <v>0</v>
      </c>
      <c r="K30" s="10">
        <f>IF($A30-Assumptions!$C$13&lt;0,0,(Assumptions!$C$17*12*Assumptions!$C$16*Assumptions!$B$8)*(1+Assumptions!$B$9)^($A30-Assumptions!$C$13))</f>
        <v>772088.9265250606</v>
      </c>
      <c r="L30" s="10">
        <f>IF(K30=0,0,-K30*Assumptions!$B$7)</f>
        <v>-308835.5706100242</v>
      </c>
      <c r="M30" s="10">
        <f>-D30</f>
        <v>0</v>
      </c>
      <c r="N30" s="10">
        <f>SUM(I30:M30)</f>
        <v>463253.35591503634</v>
      </c>
    </row>
    <row r="31" spans="1:14" ht="12.75">
      <c r="A31" s="21">
        <f>Assumptions!$H31</f>
        <v>2044</v>
      </c>
      <c r="B31" s="10">
        <f>IF(A31=Assumptions!$C$12,Assumptions!$C$14*(1-Assumptions!$B$3),G30)</f>
        <v>5.998590900162527E-10</v>
      </c>
      <c r="C31" s="10">
        <f>'Project 3'!J31</f>
        <v>0</v>
      </c>
      <c r="D31" s="10">
        <f>IF(B31&lt;1,0,IF(A31=Assumptions!$C$12,Assumptions!$C$18*Assumptions!$C$22,IF(Assumptions!$D$19="Y",IF(A31&gt;Assumptions!$D$12,Assumptions!$C$24,Assumptions!$C$22),Assumptions!$C$22)))</f>
        <v>0</v>
      </c>
      <c r="E31" s="10">
        <f>D31-F31</f>
        <v>-1.649612497544695E-11</v>
      </c>
      <c r="F31" s="10">
        <f>IF(B31=0,0,IF(D31&lt;Assumptions!$C$22,Assumptions!$C$18*Assumptions!$C$15*B31,B31*Assumptions!$C$15))</f>
        <v>1.649612497544695E-11</v>
      </c>
      <c r="G31" s="10">
        <f>B31+C31-E31</f>
        <v>6.163552149916996E-10</v>
      </c>
      <c r="I31" s="10">
        <f>IF(A31=Assumptions!$C$12,-Assumptions!$C$14*Assumptions!$B$3,0)</f>
        <v>0</v>
      </c>
      <c r="J31" s="10">
        <f>IF(Assumptions!$C$19="Y",-I31,0)</f>
        <v>0</v>
      </c>
      <c r="K31" s="10">
        <f>IF($A31-Assumptions!$C$13&lt;0,0,(Assumptions!$C$17*12*Assumptions!$C$16*Assumptions!$B$8)*(1+Assumptions!$B$9)^($A31-Assumptions!$C$13))</f>
        <v>810693.3728513137</v>
      </c>
      <c r="L31" s="10">
        <f>IF(K31=0,0,-K31*Assumptions!$B$7)</f>
        <v>-324277.3491405255</v>
      </c>
      <c r="M31" s="10">
        <f>-D31</f>
        <v>0</v>
      </c>
      <c r="N31" s="10">
        <f>SUM(I31:M31)</f>
        <v>486416.02371078817</v>
      </c>
    </row>
    <row r="32" spans="1:14" ht="12.75">
      <c r="A32" s="21">
        <f>Assumptions!$H32</f>
        <v>2045</v>
      </c>
      <c r="B32" s="10">
        <f>IF(A32=Assumptions!$C$12,Assumptions!$C$14*(1-Assumptions!$B$3),G31)</f>
        <v>6.163552149916996E-10</v>
      </c>
      <c r="C32" s="10">
        <f>'Project 3'!J32</f>
        <v>0</v>
      </c>
      <c r="D32" s="10">
        <f>IF(B32&lt;1,0,IF(A32=Assumptions!$C$12,Assumptions!$C$18*Assumptions!$C$22,IF(Assumptions!$D$19="Y",IF(A32&gt;Assumptions!$D$12,Assumptions!$C$24,Assumptions!$C$22),Assumptions!$C$22)))</f>
        <v>0</v>
      </c>
      <c r="E32" s="10">
        <f>D32-F32</f>
        <v>-1.6949768412271737E-11</v>
      </c>
      <c r="F32" s="10">
        <f>IF(B32=0,0,IF(D32&lt;Assumptions!$C$22,Assumptions!$C$18*Assumptions!$C$15*B32,B32*Assumptions!$C$15))</f>
        <v>1.6949768412271737E-11</v>
      </c>
      <c r="G32" s="10">
        <f>B32+C32-E32</f>
        <v>6.333049834039713E-10</v>
      </c>
      <c r="I32" s="10">
        <f>IF(A32=Assumptions!$C$12,-Assumptions!$C$14*Assumptions!$B$3,0)</f>
        <v>0</v>
      </c>
      <c r="J32" s="10">
        <f>IF(Assumptions!$C$19="Y",-I32,0)</f>
        <v>0</v>
      </c>
      <c r="K32" s="10">
        <f>IF($A32-Assumptions!$C$13&lt;0,0,(Assumptions!$C$17*12*Assumptions!$C$16*Assumptions!$B$8)*(1+Assumptions!$B$9)^($A32-Assumptions!$C$13))</f>
        <v>851228.0414938794</v>
      </c>
      <c r="L32" s="10">
        <f>IF(K32=0,0,-K32*Assumptions!$B$7)</f>
        <v>-340491.2165975518</v>
      </c>
      <c r="M32" s="10">
        <f>-D32</f>
        <v>0</v>
      </c>
      <c r="N32" s="10">
        <f>SUM(I32:M32)</f>
        <v>510736.8248963276</v>
      </c>
    </row>
    <row r="33" spans="1:14" ht="12.75">
      <c r="A33" s="21">
        <f>Assumptions!$H33</f>
        <v>2046</v>
      </c>
      <c r="B33" s="10">
        <f>IF(A33=Assumptions!$C$12,Assumptions!$C$14*(1-Assumptions!$B$3),G32)</f>
        <v>6.333049834039713E-10</v>
      </c>
      <c r="C33" s="10">
        <f>'Project 3'!J33</f>
        <v>0</v>
      </c>
      <c r="D33" s="10">
        <f>IF(B33&lt;1,0,IF(A33=Assumptions!$C$12,Assumptions!$C$18*Assumptions!$C$22,IF(Assumptions!$D$19="Y",IF(A33&gt;Assumptions!$D$12,Assumptions!$C$24,Assumptions!$C$22),Assumptions!$C$22)))</f>
        <v>0</v>
      </c>
      <c r="E33" s="10">
        <f>D33-F33</f>
        <v>-1.741588704360921E-11</v>
      </c>
      <c r="F33" s="10">
        <f>IF(B33=0,0,IF(D33&lt;Assumptions!$C$22,Assumptions!$C$18*Assumptions!$C$15*B33,B33*Assumptions!$C$15))</f>
        <v>1.741588704360921E-11</v>
      </c>
      <c r="G33" s="10">
        <f>B33+C33-E33</f>
        <v>6.507208704475806E-10</v>
      </c>
      <c r="I33" s="10">
        <f>IF(A33=Assumptions!$C$12,-Assumptions!$C$14*Assumptions!$B$3,0)</f>
        <v>0</v>
      </c>
      <c r="J33" s="10">
        <f>IF(Assumptions!$C$19="Y",-I33,0)</f>
        <v>0</v>
      </c>
      <c r="K33" s="10">
        <f>IF($A33-Assumptions!$C$13&lt;0,0,(Assumptions!$C$17*12*Assumptions!$C$16*Assumptions!$B$8)*(1+Assumptions!$B$9)^($A33-Assumptions!$C$13))</f>
        <v>893789.4435685734</v>
      </c>
      <c r="L33" s="10">
        <f>IF(K33=0,0,-K33*Assumptions!$B$7)</f>
        <v>-357515.7774274294</v>
      </c>
      <c r="M33" s="10">
        <f>-D33</f>
        <v>0</v>
      </c>
      <c r="N33" s="10">
        <f>SUM(I33:M33)</f>
        <v>536273.666141144</v>
      </c>
    </row>
    <row r="34" spans="1:14" ht="12.75">
      <c r="A34" s="21">
        <f>Assumptions!$H34</f>
        <v>2047</v>
      </c>
      <c r="B34" s="10">
        <f>IF(A34=Assumptions!$C$12,Assumptions!$C$14*(1-Assumptions!$B$3),G33)</f>
        <v>6.507208704475806E-10</v>
      </c>
      <c r="C34" s="10">
        <f>'Project 3'!J34</f>
        <v>0</v>
      </c>
      <c r="D34" s="10">
        <f>IF(B34&lt;1,0,IF(A34=Assumptions!$C$12,Assumptions!$C$18*Assumptions!$C$22,IF(Assumptions!$D$19="Y",IF(A34&gt;Assumptions!$D$12,Assumptions!$C$24,Assumptions!$C$22),Assumptions!$C$22)))</f>
        <v>0</v>
      </c>
      <c r="E34" s="10">
        <f>D34-F34</f>
        <v>-1.7894823937308465E-11</v>
      </c>
      <c r="F34" s="10">
        <f>IF(B34=0,0,IF(D34&lt;Assumptions!$C$22,Assumptions!$C$18*Assumptions!$C$15*B34,B34*Assumptions!$C$15))</f>
        <v>1.7894823937308465E-11</v>
      </c>
      <c r="G34" s="10">
        <f>B34+C34-E34</f>
        <v>6.68615694384889E-10</v>
      </c>
      <c r="I34" s="10">
        <f>IF(A34=Assumptions!$C$12,-Assumptions!$C$14*Assumptions!$B$3,0)</f>
        <v>0</v>
      </c>
      <c r="J34" s="10">
        <f>IF(Assumptions!$C$19="Y",-I34,0)</f>
        <v>0</v>
      </c>
      <c r="K34" s="10">
        <f>IF($A34-Assumptions!$C$13&lt;0,0,(Assumptions!$C$17*12*Assumptions!$C$16*Assumptions!$B$8)*(1+Assumptions!$B$9)^($A34-Assumptions!$C$13))</f>
        <v>938478.9157470021</v>
      </c>
      <c r="L34" s="10">
        <f>IF(K34=0,0,-K34*Assumptions!$B$7)</f>
        <v>-375391.56629880087</v>
      </c>
      <c r="M34" s="10">
        <f>-D34</f>
        <v>0</v>
      </c>
      <c r="N34" s="10">
        <f>SUM(I34:M34)</f>
        <v>563087.3494482012</v>
      </c>
    </row>
    <row r="35" spans="1:14" ht="12.75">
      <c r="A35" s="21">
        <f>Assumptions!$H35</f>
        <v>2048</v>
      </c>
      <c r="B35" s="10">
        <f>IF(A35=Assumptions!$C$12,Assumptions!$C$14*(1-Assumptions!$B$3),G34)</f>
        <v>6.68615694384889E-10</v>
      </c>
      <c r="C35" s="10">
        <f>'Project 3'!J35</f>
        <v>0</v>
      </c>
      <c r="D35" s="10">
        <f>IF(B35&lt;1,0,IF(A35=Assumptions!$C$12,Assumptions!$C$18*Assumptions!$C$22,IF(Assumptions!$D$19="Y",IF(A35&gt;Assumptions!$D$12,Assumptions!$C$24,Assumptions!$C$22),Assumptions!$C$22)))</f>
        <v>0</v>
      </c>
      <c r="E35" s="10">
        <f>D35-F35</f>
        <v>-1.838693159558445E-11</v>
      </c>
      <c r="F35" s="10">
        <f>IF(B35=0,0,IF(D35&lt;Assumptions!$C$22,Assumptions!$C$18*Assumptions!$C$15*B35,B35*Assumptions!$C$15))</f>
        <v>1.838693159558445E-11</v>
      </c>
      <c r="G35" s="10">
        <f>B35+C35-E35</f>
        <v>6.870026259804734E-10</v>
      </c>
      <c r="I35" s="10">
        <f>IF(A35=Assumptions!$C$12,-Assumptions!$C$14*Assumptions!$B$3,0)</f>
        <v>0</v>
      </c>
      <c r="J35" s="10">
        <f>IF(Assumptions!$C$19="Y",-I35,0)</f>
        <v>0</v>
      </c>
      <c r="K35" s="10">
        <f>IF($A35-Assumptions!$C$13&lt;0,0,(Assumptions!$C$17*12*Assumptions!$C$16*Assumptions!$B$8)*(1+Assumptions!$B$9)^($A35-Assumptions!$C$13))</f>
        <v>985402.8615343524</v>
      </c>
      <c r="L35" s="10">
        <f>IF(K35=0,0,-K35*Assumptions!$B$7)</f>
        <v>-394161.14461374097</v>
      </c>
      <c r="M35" s="10">
        <f>-D35</f>
        <v>0</v>
      </c>
      <c r="N35" s="10">
        <f>SUM(I35:M35)</f>
        <v>591241.7169206114</v>
      </c>
    </row>
    <row r="36" spans="1:14" ht="12.75">
      <c r="A36" s="21">
        <f>Assumptions!$H36</f>
        <v>2049</v>
      </c>
      <c r="B36" s="10">
        <f>IF(A36=Assumptions!$C$12,Assumptions!$C$14*(1-Assumptions!$B$3),G35)</f>
        <v>6.870026259804734E-10</v>
      </c>
      <c r="C36" s="10">
        <f>'Project 3'!J36</f>
        <v>0</v>
      </c>
      <c r="D36" s="10">
        <f>IF(B36&lt;1,0,IF(A36=Assumptions!$C$12,Assumptions!$C$18*Assumptions!$C$22,IF(Assumptions!$D$19="Y",IF(A36&gt;Assumptions!$D$12,Assumptions!$C$24,Assumptions!$C$22),Assumptions!$C$22)))</f>
        <v>0</v>
      </c>
      <c r="E36" s="10">
        <f>D36-F36</f>
        <v>-1.889257221446302E-11</v>
      </c>
      <c r="F36" s="10">
        <f>IF(B36=0,0,IF(D36&lt;Assumptions!$C$22,Assumptions!$C$18*Assumptions!$C$15*B36,B36*Assumptions!$C$15))</f>
        <v>1.889257221446302E-11</v>
      </c>
      <c r="G36" s="10">
        <f>B36+C36-E36</f>
        <v>7.058951981949364E-10</v>
      </c>
      <c r="I36" s="10">
        <f>IF(A36=Assumptions!$C$12,-Assumptions!$C$14*Assumptions!$B$3,0)</f>
        <v>0</v>
      </c>
      <c r="J36" s="10">
        <f>IF(Assumptions!$C$19="Y",-I36,0)</f>
        <v>0</v>
      </c>
      <c r="K36" s="10">
        <f>IF($A36-Assumptions!$C$13&lt;0,0,(Assumptions!$C$17*12*Assumptions!$C$16*Assumptions!$B$8)*(1+Assumptions!$B$9)^($A36-Assumptions!$C$13))</f>
        <v>1034673.00461107</v>
      </c>
      <c r="L36" s="10">
        <f>IF(K36=0,0,-K36*Assumptions!$B$7)</f>
        <v>-413869.201844428</v>
      </c>
      <c r="M36" s="10">
        <f>-D36</f>
        <v>0</v>
      </c>
      <c r="N36" s="10">
        <f>SUM(I36:M36)</f>
        <v>620803.8027666421</v>
      </c>
    </row>
    <row r="37" spans="1:14" ht="12.75">
      <c r="A37" s="21">
        <f>Assumptions!$H37</f>
        <v>2050</v>
      </c>
      <c r="B37" s="10">
        <f>IF(A37=Assumptions!$C$12,Assumptions!$C$14*(1-Assumptions!$B$3),G36)</f>
        <v>7.058951981949364E-10</v>
      </c>
      <c r="C37" s="10">
        <f>'Project 3'!J37</f>
        <v>0</v>
      </c>
      <c r="D37" s="10">
        <f>IF(B37&lt;1,0,IF(A37=Assumptions!$C$12,Assumptions!$C$18*Assumptions!$C$22,IF(Assumptions!$D$19="Y",IF(A37&gt;Assumptions!$D$12,Assumptions!$C$24,Assumptions!$C$22),Assumptions!$C$22)))</f>
        <v>0</v>
      </c>
      <c r="E37" s="10">
        <f>D37-F37</f>
        <v>-1.941211795036075E-11</v>
      </c>
      <c r="F37" s="10">
        <f>IF(B37=0,0,IF(D37&lt;Assumptions!$C$22,Assumptions!$C$18*Assumptions!$C$15*B37,B37*Assumptions!$C$15))</f>
        <v>1.941211795036075E-11</v>
      </c>
      <c r="G37" s="10">
        <f>B37+C37-E37</f>
        <v>7.253073161452972E-10</v>
      </c>
      <c r="I37" s="10">
        <f>IF(A37=Assumptions!$C$12,-Assumptions!$C$14*Assumptions!$B$3,0)</f>
        <v>0</v>
      </c>
      <c r="J37" s="10">
        <f>IF(Assumptions!$C$19="Y",-I37,0)</f>
        <v>0</v>
      </c>
      <c r="K37" s="10">
        <f>IF($A37-Assumptions!$C$13&lt;0,0,(Assumptions!$C$17*12*Assumptions!$C$16*Assumptions!$B$8)*(1+Assumptions!$B$9)^($A37-Assumptions!$C$13))</f>
        <v>1086406.6548416235</v>
      </c>
      <c r="L37" s="10">
        <f>IF(K37=0,0,-K37*Assumptions!$B$7)</f>
        <v>-434562.6619366494</v>
      </c>
      <c r="M37" s="10">
        <f>-D37</f>
        <v>0</v>
      </c>
      <c r="N37" s="10">
        <f>SUM(I37:M37)</f>
        <v>651843.9929049741</v>
      </c>
    </row>
    <row r="38" spans="1:10" ht="12.75">
      <c r="A38" s="22" t="s">
        <v>40</v>
      </c>
      <c r="B38" s="23"/>
      <c r="C38" s="23"/>
      <c r="D38" s="23"/>
      <c r="E38" s="23">
        <f>SUM(E3:E37)</f>
        <v>1049999.9999999995</v>
      </c>
      <c r="F38" s="23">
        <f>SUM(F3:F37)</f>
        <v>774348.0629553385</v>
      </c>
      <c r="G38" s="23"/>
      <c r="H38" s="23"/>
      <c r="I38" s="23"/>
      <c r="J38" s="23"/>
    </row>
  </sheetData>
  <sheetProtection selectLockedCells="1" selectUnlockedCells="1"/>
  <mergeCells count="2">
    <mergeCell ref="B1:G1"/>
    <mergeCell ref="I1:N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showZeros="0" workbookViewId="0" topLeftCell="A1">
      <pane ySplit="2" topLeftCell="A3" activePane="bottomLeft" state="frozen"/>
      <selection pane="topLeft" activeCell="A1" sqref="A1"/>
      <selection pane="bottomLeft" activeCell="I15" sqref="I15"/>
    </sheetView>
  </sheetViews>
  <sheetFormatPr defaultColWidth="12.57421875" defaultRowHeight="12.75"/>
  <cols>
    <col min="1" max="1" width="7.7109375" style="16" customWidth="1"/>
    <col min="2" max="2" width="10.28125" style="10" customWidth="1"/>
    <col min="3" max="4" width="8.7109375" style="10" customWidth="1"/>
    <col min="5" max="7" width="10.28125" style="10" customWidth="1"/>
    <col min="8" max="8" width="0.71875" style="10" customWidth="1"/>
    <col min="9" max="14" width="9.7109375" style="10" customWidth="1"/>
    <col min="15" max="16384" width="11.57421875" style="10" customWidth="1"/>
  </cols>
  <sheetData>
    <row r="1" spans="2:14" ht="12.75">
      <c r="B1" s="17" t="s">
        <v>29</v>
      </c>
      <c r="C1" s="17"/>
      <c r="D1" s="17"/>
      <c r="E1" s="17"/>
      <c r="F1" s="17"/>
      <c r="G1" s="17"/>
      <c r="I1" s="17" t="s">
        <v>30</v>
      </c>
      <c r="J1" s="17"/>
      <c r="K1" s="17"/>
      <c r="L1" s="17"/>
      <c r="M1" s="17"/>
      <c r="N1" s="17"/>
    </row>
    <row r="2" spans="1:14" ht="12.75">
      <c r="A2" s="18" t="s">
        <v>4</v>
      </c>
      <c r="B2" s="19" t="s">
        <v>31</v>
      </c>
      <c r="C2" s="20" t="s">
        <v>32</v>
      </c>
      <c r="D2" s="20" t="s">
        <v>33</v>
      </c>
      <c r="E2" s="19" t="s">
        <v>34</v>
      </c>
      <c r="F2" s="19" t="s">
        <v>35</v>
      </c>
      <c r="G2" s="19" t="s">
        <v>36</v>
      </c>
      <c r="H2" s="19"/>
      <c r="I2" s="20" t="s">
        <v>6</v>
      </c>
      <c r="J2" s="20" t="s">
        <v>41</v>
      </c>
      <c r="K2" s="19" t="s">
        <v>37</v>
      </c>
      <c r="L2" s="19" t="s">
        <v>38</v>
      </c>
      <c r="M2" s="20" t="s">
        <v>39</v>
      </c>
      <c r="N2" s="20" t="s">
        <v>30</v>
      </c>
    </row>
    <row r="3" spans="1:14" ht="12.75">
      <c r="A3" s="21">
        <f>Assumptions!$H3</f>
        <v>2016</v>
      </c>
      <c r="B3" s="10">
        <f>IF(A3=Assumptions!$D$12,Assumptions!$D$14*(1-Assumptions!$B$3),0)</f>
        <v>0</v>
      </c>
      <c r="C3" s="10">
        <f>'Project 4'!J3</f>
        <v>0</v>
      </c>
      <c r="D3" s="10">
        <f>IF(B3&lt;1,0,IF(A3=Assumptions!$D$12,Assumptions!$D$18*Assumptions!$D$22,IF(Assumptions!$E$19="Y",IF(A3&gt;Assumptions!$E$12,Assumptions!$D$24,Assumptions!$D$22),Assumptions!$D$22)))</f>
        <v>0</v>
      </c>
      <c r="E3" s="10">
        <f>D3-F3</f>
        <v>0</v>
      </c>
      <c r="F3" s="10">
        <f>IF(B3=0,0,IF(D3&lt;Assumptions!$D$22,Assumptions!$D$18*Assumptions!$D$15*B3,B3*Assumptions!$D$15))</f>
        <v>0</v>
      </c>
      <c r="G3" s="10">
        <f>B3+C3-E3</f>
        <v>0</v>
      </c>
      <c r="I3" s="10">
        <f>IF(A3=Assumptions!$D$12,-Assumptions!$D$14*Assumptions!$B$3,0)</f>
        <v>0</v>
      </c>
      <c r="J3" s="10">
        <f>IF(Assumptions!$D$19="Y",-I3,0)</f>
        <v>0</v>
      </c>
      <c r="K3" s="10">
        <f>IF($A3-Assumptions!$D$13&lt;0,0,(Assumptions!$D$17*12*Assumptions!$D$16*Assumptions!$B$8)*(1+Assumptions!$B$9)^($A3-Assumptions!$D$13))</f>
        <v>0</v>
      </c>
      <c r="L3" s="10">
        <f>IF(K3=0,0,-K3*Assumptions!$B$7)</f>
        <v>0</v>
      </c>
      <c r="M3" s="10">
        <f>-E3-F3</f>
        <v>0</v>
      </c>
      <c r="N3" s="10">
        <f>SUM(I3:M3)</f>
        <v>0</v>
      </c>
    </row>
    <row r="4" spans="1:14" ht="12.75">
      <c r="A4" s="21">
        <f>Assumptions!$H4</f>
        <v>2017</v>
      </c>
      <c r="B4" s="10">
        <f>IF(A4=Assumptions!$D$12,Assumptions!$D$14*(1-Assumptions!$B$3),G3)</f>
        <v>0</v>
      </c>
      <c r="C4" s="10">
        <f>'Project 4'!J4</f>
        <v>0</v>
      </c>
      <c r="D4" s="10">
        <f>IF(B4&lt;1,0,IF(A4=Assumptions!$D$12,Assumptions!$D$18*Assumptions!$D$22,IF(Assumptions!$E$19="Y",IF(A4&gt;Assumptions!$E$12,Assumptions!$D$24,Assumptions!$D$22),Assumptions!$D$22)))</f>
        <v>0</v>
      </c>
      <c r="E4" s="10">
        <f>D4-F4</f>
        <v>0</v>
      </c>
      <c r="F4" s="10">
        <f>IF(B4=0,0,IF(D4&lt;Assumptions!$D$22,Assumptions!$D$18*Assumptions!$D$15*B4,B4*Assumptions!$D$15))</f>
        <v>0</v>
      </c>
      <c r="G4" s="10">
        <f>B4+C4-E4</f>
        <v>0</v>
      </c>
      <c r="I4" s="10">
        <f>IF(A4=Assumptions!$D$12,-Assumptions!$D$14*Assumptions!$B$3,0)</f>
        <v>0</v>
      </c>
      <c r="J4" s="10">
        <f>IF(Assumptions!$D$19="Y",-I4,0)</f>
        <v>0</v>
      </c>
      <c r="K4" s="10">
        <f>IF($A4-Assumptions!$D$13&lt;0,0,(Assumptions!$D$17*12*Assumptions!$D$16*Assumptions!$B$8)*(1+Assumptions!$B$9)^($A4-Assumptions!$D$13))</f>
        <v>0</v>
      </c>
      <c r="L4" s="10">
        <f>IF(K4=0,0,-K4*Assumptions!$B$7)</f>
        <v>0</v>
      </c>
      <c r="M4" s="10">
        <f>-E4-F4</f>
        <v>0</v>
      </c>
      <c r="N4" s="10">
        <f>SUM(I4:M4)</f>
        <v>0</v>
      </c>
    </row>
    <row r="5" spans="1:14" ht="12.75">
      <c r="A5" s="21">
        <f>Assumptions!$H5</f>
        <v>2018</v>
      </c>
      <c r="B5" s="10">
        <f>IF(A5=Assumptions!$D$12,Assumptions!$D$14*(1-Assumptions!$B$3),G4)</f>
        <v>0</v>
      </c>
      <c r="C5" s="10">
        <f>'Project 4'!J5</f>
        <v>0</v>
      </c>
      <c r="D5" s="10">
        <f>IF(B5&lt;1,0,IF(A5=Assumptions!$D$12,Assumptions!$D$18*Assumptions!$D$22,IF(Assumptions!$E$19="Y",IF(A5&gt;Assumptions!$E$12,Assumptions!$D$24,Assumptions!$D$22),Assumptions!$D$22)))</f>
        <v>0</v>
      </c>
      <c r="E5" s="10">
        <f>D5-F5</f>
        <v>0</v>
      </c>
      <c r="F5" s="10">
        <f>IF(B5=0,0,IF(D5&lt;Assumptions!$D$22,Assumptions!$D$18*Assumptions!$D$15*B5,B5*Assumptions!$D$15))</f>
        <v>0</v>
      </c>
      <c r="G5" s="10">
        <f>B5+C5-E5</f>
        <v>0</v>
      </c>
      <c r="I5" s="10">
        <f>IF(A5=Assumptions!$D$12,-Assumptions!$D$14*Assumptions!$B$3,0)</f>
        <v>0</v>
      </c>
      <c r="J5" s="10">
        <f>IF(Assumptions!$D$19="Y",-I5,0)</f>
        <v>0</v>
      </c>
      <c r="K5" s="10">
        <f>IF($A5-Assumptions!$D$13&lt;0,0,(Assumptions!$D$17*12*Assumptions!$D$16*Assumptions!$B$8)*(1+Assumptions!$B$9)^($A5-Assumptions!$D$13))</f>
        <v>0</v>
      </c>
      <c r="L5" s="10">
        <f>IF(K5=0,0,-K5*Assumptions!$B$7)</f>
        <v>0</v>
      </c>
      <c r="M5" s="10">
        <f>-E5-F5</f>
        <v>0</v>
      </c>
      <c r="N5" s="10">
        <f>SUM(I5:M5)</f>
        <v>0</v>
      </c>
    </row>
    <row r="6" spans="1:14" ht="12.75">
      <c r="A6" s="21">
        <f>Assumptions!$H6</f>
        <v>2019</v>
      </c>
      <c r="B6" s="10">
        <f>IF(A6=Assumptions!$D$12,Assumptions!$D$14*(1-Assumptions!$B$3),G5)</f>
        <v>0</v>
      </c>
      <c r="C6" s="10">
        <f>'Project 4'!J6</f>
        <v>0</v>
      </c>
      <c r="D6" s="10">
        <f>IF(B6&lt;1,0,IF(A6=Assumptions!$D$12,Assumptions!$D$18*Assumptions!$D$22,IF(Assumptions!$E$19="Y",IF(A6&gt;Assumptions!$E$12,Assumptions!$D$24,Assumptions!$D$22),Assumptions!$D$22)))</f>
        <v>0</v>
      </c>
      <c r="E6" s="10">
        <f>D6-F6</f>
        <v>0</v>
      </c>
      <c r="F6" s="10">
        <f>IF(B6=0,0,IF(D6&lt;Assumptions!$D$22,Assumptions!$D$18*Assumptions!$D$15*B6,B6*Assumptions!$D$15))</f>
        <v>0</v>
      </c>
      <c r="G6" s="10">
        <f>B6+C6-E6</f>
        <v>0</v>
      </c>
      <c r="I6" s="10">
        <f>IF(A6=Assumptions!$D$12,-Assumptions!$D$14*Assumptions!$B$3,0)</f>
        <v>0</v>
      </c>
      <c r="J6" s="10">
        <f>IF(Assumptions!$D$19="Y",-I6,0)</f>
        <v>0</v>
      </c>
      <c r="K6" s="10">
        <f>IF($A6-Assumptions!$D$13&lt;0,0,(Assumptions!$D$17*12*Assumptions!$D$16*Assumptions!$B$8)*(1+Assumptions!$B$9)^($A6-Assumptions!$D$13))</f>
        <v>0</v>
      </c>
      <c r="L6" s="10">
        <f>IF(K6=0,0,-K6*Assumptions!$B$7)</f>
        <v>0</v>
      </c>
      <c r="M6" s="10">
        <f>-E6-F6</f>
        <v>0</v>
      </c>
      <c r="N6" s="10">
        <f>SUM(I6:M6)</f>
        <v>0</v>
      </c>
    </row>
    <row r="7" spans="1:14" ht="12.75">
      <c r="A7" s="21">
        <f>Assumptions!$H7</f>
        <v>2020</v>
      </c>
      <c r="B7" s="10">
        <f>IF(A7=Assumptions!$D$12,Assumptions!$D$14*(1-Assumptions!$B$3),G6)</f>
        <v>1000000</v>
      </c>
      <c r="C7" s="10">
        <f>'Project 4'!J7</f>
        <v>0</v>
      </c>
      <c r="D7" s="10">
        <f>IF(B7&lt;1,0,IF(A7=Assumptions!$D$12,Assumptions!$D$18*Assumptions!$D$22,IF(Assumptions!$E$19="Y",IF(A7&gt;Assumptions!$E$12,Assumptions!$D$24,Assumptions!$D$22),Assumptions!$D$22)))</f>
        <v>43592.27848842573</v>
      </c>
      <c r="E7" s="10">
        <f>D7-F7</f>
        <v>13592.278488425727</v>
      </c>
      <c r="F7" s="10">
        <f>IF(B7=0,0,IF(D7&lt;Assumptions!$D$22,Assumptions!$D$18*Assumptions!$D$15*B7,B7*Assumptions!$D$15))</f>
        <v>30000</v>
      </c>
      <c r="G7" s="10">
        <f>B7+C7-E7</f>
        <v>986407.7215115742</v>
      </c>
      <c r="I7" s="10">
        <f>IF(A7=Assumptions!$D$12,-Assumptions!$D$14*Assumptions!$B$3,0)</f>
        <v>-250000</v>
      </c>
      <c r="J7" s="10">
        <f>IF(Assumptions!$D$19="Y",-I7,0)</f>
        <v>250000</v>
      </c>
      <c r="K7" s="10">
        <f>IF($A7-Assumptions!$D$13&lt;0,0,(Assumptions!$D$17*12*Assumptions!$D$16*Assumptions!$B$8)*(1+Assumptions!$B$9)^($A7-Assumptions!$D$13))</f>
        <v>0</v>
      </c>
      <c r="L7" s="10">
        <f>IF(K7=0,0,-K7*Assumptions!$B$7)</f>
        <v>0</v>
      </c>
      <c r="M7" s="10">
        <f>-E7-F7</f>
        <v>-43592.27848842573</v>
      </c>
      <c r="N7" s="10">
        <f>SUM(I7:M7)</f>
        <v>-43592.27848842571</v>
      </c>
    </row>
    <row r="8" spans="1:14" ht="12.75">
      <c r="A8" s="21">
        <f>Assumptions!$H8</f>
        <v>2021</v>
      </c>
      <c r="B8" s="10">
        <f>IF(A8=Assumptions!$D$12,Assumptions!$D$14*(1-Assumptions!$B$3),G7)</f>
        <v>986407.7215115742</v>
      </c>
      <c r="C8" s="10">
        <f>'Project 4'!J8</f>
        <v>0</v>
      </c>
      <c r="D8" s="10">
        <f>IF(B8&lt;1,0,IF(A8=Assumptions!$D$12,Assumptions!$D$18*Assumptions!$D$22,IF(Assumptions!$E$19="Y",IF(A8&gt;Assumptions!$E$12,Assumptions!$D$24,Assumptions!$D$22),Assumptions!$D$22)))</f>
        <v>87184.55697685145</v>
      </c>
      <c r="E8" s="10">
        <f>D8-F8</f>
        <v>28000.093686157</v>
      </c>
      <c r="F8" s="10">
        <f>IF(B8=0,0,IF(D8&lt;Assumptions!$D$22,Assumptions!$D$18*Assumptions!$D$15*B8,B8*Assumptions!$D$15))</f>
        <v>59184.46329069445</v>
      </c>
      <c r="G8" s="10">
        <f>B8+C8-E8</f>
        <v>958407.6278254172</v>
      </c>
      <c r="I8" s="10">
        <f>IF(A8=Assumptions!$D$12,-Assumptions!$D$14*Assumptions!$B$3,0)</f>
        <v>0</v>
      </c>
      <c r="J8" s="10">
        <f>IF(Assumptions!$D$19="Y",-I8,0)</f>
        <v>0</v>
      </c>
      <c r="K8" s="10">
        <f>IF($A8-Assumptions!$D$13&lt;0,0,(Assumptions!$D$17*12*Assumptions!$D$16*Assumptions!$B$8)*(1+Assumptions!$B$9)^($A8-Assumptions!$D$13))</f>
        <v>342000</v>
      </c>
      <c r="L8" s="10">
        <f>IF(K8=0,0,-K8*Assumptions!$B$7)</f>
        <v>-136800</v>
      </c>
      <c r="M8" s="10">
        <f>-E8-F8</f>
        <v>-87184.55697685145</v>
      </c>
      <c r="N8" s="10">
        <f>SUM(I8:M8)</f>
        <v>118015.44302314855</v>
      </c>
    </row>
    <row r="9" spans="1:14" ht="12.75">
      <c r="A9" s="21">
        <f>Assumptions!$H9</f>
        <v>2022</v>
      </c>
      <c r="B9" s="10">
        <f>IF(A9=Assumptions!$D$12,Assumptions!$D$14*(1-Assumptions!$B$3),G8)</f>
        <v>958407.6278254172</v>
      </c>
      <c r="C9" s="10">
        <f>'Project 4'!J9</f>
        <v>300000</v>
      </c>
      <c r="D9" s="10">
        <f>IF(B9&lt;1,0,IF(A9=Assumptions!$D$12,Assumptions!$D$18*Assumptions!$D$22,IF(Assumptions!$E$19="Y",IF(A9&gt;Assumptions!$E$12,Assumptions!$D$24,Assumptions!$D$22),Assumptions!$D$22)))</f>
        <v>87184.55697685145</v>
      </c>
      <c r="E9" s="10">
        <f>D9-F9</f>
        <v>29680.099307326425</v>
      </c>
      <c r="F9" s="10">
        <f>IF(B9=0,0,IF(D9&lt;Assumptions!$D$22,Assumptions!$D$18*Assumptions!$D$15*B9,B9*Assumptions!$D$15))</f>
        <v>57504.45766952503</v>
      </c>
      <c r="G9" s="10">
        <f>B9+C9-E9</f>
        <v>1228727.5285180907</v>
      </c>
      <c r="I9" s="10">
        <f>IF(A9=Assumptions!$D$12,-Assumptions!$D$14*Assumptions!$B$3,0)</f>
        <v>0</v>
      </c>
      <c r="J9" s="10">
        <f>IF(Assumptions!$D$19="Y",-I9,0)</f>
        <v>0</v>
      </c>
      <c r="K9" s="10">
        <f>IF($A9-Assumptions!$D$13&lt;0,0,(Assumptions!$D$17*12*Assumptions!$D$16*Assumptions!$B$8)*(1+Assumptions!$B$9)^($A9-Assumptions!$D$13))</f>
        <v>359100</v>
      </c>
      <c r="L9" s="10">
        <f>IF(K9=0,0,-K9*Assumptions!$B$7)</f>
        <v>-143640</v>
      </c>
      <c r="M9" s="10">
        <f>-E9-F9</f>
        <v>-87184.55697685145</v>
      </c>
      <c r="N9" s="10">
        <f>SUM(I9:M9)</f>
        <v>128275.44302314855</v>
      </c>
    </row>
    <row r="10" spans="1:14" ht="12.75">
      <c r="A10" s="21">
        <f>Assumptions!$H10</f>
        <v>2023</v>
      </c>
      <c r="B10" s="10">
        <f>IF(A10=Assumptions!$D$12,Assumptions!$D$14*(1-Assumptions!$B$3),G9)</f>
        <v>1228727.5285180907</v>
      </c>
      <c r="C10" s="10">
        <f>'Project 4'!J10</f>
        <v>0</v>
      </c>
      <c r="D10" s="10">
        <f>IF(B10&lt;1,0,IF(A10=Assumptions!$D$12,Assumptions!$D$18*Assumptions!$D$22,IF(Assumptions!$E$19="Y",IF(A10&gt;Assumptions!$E$12,Assumptions!$D$24,Assumptions!$D$22),Assumptions!$D$22)))</f>
        <v>107126.06521911133</v>
      </c>
      <c r="E10" s="10">
        <f>D10-F10</f>
        <v>33402.413508025886</v>
      </c>
      <c r="F10" s="10">
        <f>IF(B10=0,0,IF(D10&lt;Assumptions!$D$22,Assumptions!$D$18*Assumptions!$D$15*B10,B10*Assumptions!$D$15))</f>
        <v>73723.65171108545</v>
      </c>
      <c r="G10" s="10">
        <f>B10+C10-E10</f>
        <v>1195325.1150100648</v>
      </c>
      <c r="I10" s="10">
        <f>IF(A10=Assumptions!$D$12,-Assumptions!$D$14*Assumptions!$B$3,0)</f>
        <v>0</v>
      </c>
      <c r="J10" s="10">
        <f>IF(Assumptions!$D$19="Y",-I10,0)</f>
        <v>0</v>
      </c>
      <c r="K10" s="10">
        <f>IF($A10-Assumptions!$D$13&lt;0,0,(Assumptions!$D$17*12*Assumptions!$D$16*Assumptions!$B$8)*(1+Assumptions!$B$9)^($A10-Assumptions!$D$13))</f>
        <v>377055</v>
      </c>
      <c r="L10" s="10">
        <f>IF(K10=0,0,-K10*Assumptions!$B$7)</f>
        <v>-150822</v>
      </c>
      <c r="M10" s="10">
        <f>-E10-F10</f>
        <v>-107126.06521911133</v>
      </c>
      <c r="N10" s="10">
        <f>SUM(I10:M10)</f>
        <v>119106.93478088867</v>
      </c>
    </row>
    <row r="11" spans="1:14" ht="12.75">
      <c r="A11" s="21">
        <f>Assumptions!$H11</f>
        <v>2024</v>
      </c>
      <c r="B11" s="10">
        <f>IF(A11=Assumptions!$D$12,Assumptions!$D$14*(1-Assumptions!$B$3),G10)</f>
        <v>1195325.1150100648</v>
      </c>
      <c r="C11" s="10">
        <f>'Project 4'!J11</f>
        <v>0</v>
      </c>
      <c r="D11" s="10">
        <f>IF(B11&lt;1,0,IF(A11=Assumptions!$D$12,Assumptions!$D$18*Assumptions!$D$22,IF(Assumptions!$E$19="Y",IF(A11&gt;Assumptions!$E$12,Assumptions!$D$24,Assumptions!$D$22),Assumptions!$D$22)))</f>
        <v>107126.06521911133</v>
      </c>
      <c r="E11" s="10">
        <f>D11-F11</f>
        <v>35406.55831850745</v>
      </c>
      <c r="F11" s="10">
        <f>IF(B11=0,0,IF(D11&lt;Assumptions!$D$22,Assumptions!$D$18*Assumptions!$D$15*B11,B11*Assumptions!$D$15))</f>
        <v>71719.50690060388</v>
      </c>
      <c r="G11" s="10">
        <f>B11+C11-E11</f>
        <v>1159918.5566915574</v>
      </c>
      <c r="I11" s="10">
        <f>IF(A11=Assumptions!$D$12,-Assumptions!$D$14*Assumptions!$B$3,0)</f>
        <v>0</v>
      </c>
      <c r="J11" s="10">
        <f>IF(Assumptions!$D$19="Y",-I11,0)</f>
        <v>0</v>
      </c>
      <c r="K11" s="10">
        <f>IF($A11-Assumptions!$D$13&lt;0,0,(Assumptions!$D$17*12*Assumptions!$D$16*Assumptions!$B$8)*(1+Assumptions!$B$9)^($A11-Assumptions!$D$13))</f>
        <v>395907.75000000006</v>
      </c>
      <c r="L11" s="10">
        <f>IF(K11=0,0,-K11*Assumptions!$B$7)</f>
        <v>-158363.10000000003</v>
      </c>
      <c r="M11" s="10">
        <f>-E11-F11</f>
        <v>-107126.06521911133</v>
      </c>
      <c r="N11" s="10">
        <f>SUM(I11:M11)</f>
        <v>130418.58478088869</v>
      </c>
    </row>
    <row r="12" spans="1:14" ht="12.75">
      <c r="A12" s="21">
        <f>Assumptions!$H12</f>
        <v>2025</v>
      </c>
      <c r="B12" s="10">
        <f>IF(A12=Assumptions!$D$12,Assumptions!$D$14*(1-Assumptions!$B$3),G11)</f>
        <v>1159918.5566915574</v>
      </c>
      <c r="C12" s="10">
        <f>'Project 4'!J12</f>
        <v>0</v>
      </c>
      <c r="D12" s="10">
        <f>IF(B12&lt;1,0,IF(A12=Assumptions!$D$12,Assumptions!$D$18*Assumptions!$D$22,IF(Assumptions!$E$19="Y",IF(A12&gt;Assumptions!$E$12,Assumptions!$D$24,Assumptions!$D$22),Assumptions!$D$22)))</f>
        <v>107126.06521911133</v>
      </c>
      <c r="E12" s="10">
        <f>D12-F12</f>
        <v>37530.9518176179</v>
      </c>
      <c r="F12" s="10">
        <f>IF(B12=0,0,IF(D12&lt;Assumptions!$D$22,Assumptions!$D$18*Assumptions!$D$15*B12,B12*Assumptions!$D$15))</f>
        <v>69595.11340149344</v>
      </c>
      <c r="G12" s="10">
        <f>B12+C12-E12</f>
        <v>1122387.6048739394</v>
      </c>
      <c r="I12" s="10">
        <f>IF(A12=Assumptions!$D$12,-Assumptions!$D$14*Assumptions!$B$3,0)</f>
        <v>0</v>
      </c>
      <c r="J12" s="10">
        <f>IF(Assumptions!$D$19="Y",-I12,0)</f>
        <v>0</v>
      </c>
      <c r="K12" s="10">
        <f>IF($A12-Assumptions!$D$13&lt;0,0,(Assumptions!$D$17*12*Assumptions!$D$16*Assumptions!$B$8)*(1+Assumptions!$B$9)^($A12-Assumptions!$D$13))</f>
        <v>415703.13750000007</v>
      </c>
      <c r="L12" s="10">
        <f>IF(K12=0,0,-K12*Assumptions!$B$7)</f>
        <v>-166281.25500000003</v>
      </c>
      <c r="M12" s="10">
        <f>-E12-F12</f>
        <v>-107126.06521911133</v>
      </c>
      <c r="N12" s="10">
        <f>SUM(I12:M12)</f>
        <v>142295.81728088867</v>
      </c>
    </row>
    <row r="13" spans="1:14" ht="12.75">
      <c r="A13" s="21">
        <f>Assumptions!$H13</f>
        <v>2026</v>
      </c>
      <c r="B13" s="10">
        <f>IF(A13=Assumptions!$D$12,Assumptions!$D$14*(1-Assumptions!$B$3),G12)</f>
        <v>1122387.6048739394</v>
      </c>
      <c r="C13" s="10">
        <f>'Project 4'!J13</f>
        <v>0</v>
      </c>
      <c r="D13" s="10">
        <f>IF(B13&lt;1,0,IF(A13=Assumptions!$D$12,Assumptions!$D$18*Assumptions!$D$22,IF(Assumptions!$E$19="Y",IF(A13&gt;Assumptions!$E$12,Assumptions!$D$24,Assumptions!$D$22),Assumptions!$D$22)))</f>
        <v>107126.06521911133</v>
      </c>
      <c r="E13" s="10">
        <f>D13-F13</f>
        <v>39782.808926674974</v>
      </c>
      <c r="F13" s="10">
        <f>IF(B13=0,0,IF(D13&lt;Assumptions!$D$22,Assumptions!$D$18*Assumptions!$D$15*B13,B13*Assumptions!$D$15))</f>
        <v>67343.25629243636</v>
      </c>
      <c r="G13" s="10">
        <f>B13+C13-E13</f>
        <v>1082604.7959472644</v>
      </c>
      <c r="I13" s="10">
        <f>IF(A13=Assumptions!$D$12,-Assumptions!$D$14*Assumptions!$B$3,0)</f>
        <v>0</v>
      </c>
      <c r="J13" s="10">
        <f>IF(Assumptions!$D$19="Y",-I13,0)</f>
        <v>0</v>
      </c>
      <c r="K13" s="10">
        <f>IF($A13-Assumptions!$D$13&lt;0,0,(Assumptions!$D$17*12*Assumptions!$D$16*Assumptions!$B$8)*(1+Assumptions!$B$9)^($A13-Assumptions!$D$13))</f>
        <v>436488.2943750001</v>
      </c>
      <c r="L13" s="10">
        <f>IF(K13=0,0,-K13*Assumptions!$B$7)</f>
        <v>-174595.31775000005</v>
      </c>
      <c r="M13" s="10">
        <f>-E13-F13</f>
        <v>-107126.06521911133</v>
      </c>
      <c r="N13" s="10">
        <f>SUM(I13:M13)</f>
        <v>154766.91140588874</v>
      </c>
    </row>
    <row r="14" spans="1:14" ht="12.75">
      <c r="A14" s="21">
        <f>Assumptions!$H14</f>
        <v>2027</v>
      </c>
      <c r="B14" s="10">
        <f>IF(A14=Assumptions!$D$12,Assumptions!$D$14*(1-Assumptions!$B$3),G13)</f>
        <v>1082604.7959472644</v>
      </c>
      <c r="C14" s="10">
        <f>'Project 4'!J14</f>
        <v>0</v>
      </c>
      <c r="D14" s="10">
        <f>IF(B14&lt;1,0,IF(A14=Assumptions!$D$12,Assumptions!$D$18*Assumptions!$D$22,IF(Assumptions!$E$19="Y",IF(A14&gt;Assumptions!$E$12,Assumptions!$D$24,Assumptions!$D$22),Assumptions!$D$22)))</f>
        <v>107126.06521911133</v>
      </c>
      <c r="E14" s="10">
        <f>D14-F14</f>
        <v>42169.77746227547</v>
      </c>
      <c r="F14" s="10">
        <f>IF(B14=0,0,IF(D14&lt;Assumptions!$D$22,Assumptions!$D$18*Assumptions!$D$15*B14,B14*Assumptions!$D$15))</f>
        <v>64956.28775683586</v>
      </c>
      <c r="G14" s="10">
        <f>B14+C14-E14</f>
        <v>1040435.018484989</v>
      </c>
      <c r="I14" s="10">
        <f>IF(A14=Assumptions!$D$12,-Assumptions!$D$14*Assumptions!$B$3,0)</f>
        <v>0</v>
      </c>
      <c r="J14" s="10">
        <f>IF(Assumptions!$D$19="Y",-I14,0)</f>
        <v>0</v>
      </c>
      <c r="K14" s="10">
        <f>IF($A14-Assumptions!$D$13&lt;0,0,(Assumptions!$D$17*12*Assumptions!$D$16*Assumptions!$B$8)*(1+Assumptions!$B$9)^($A14-Assumptions!$D$13))</f>
        <v>458312.70909375016</v>
      </c>
      <c r="L14" s="10">
        <f>IF(K14=0,0,-K14*Assumptions!$B$7)</f>
        <v>-183325.08363750007</v>
      </c>
      <c r="M14" s="10">
        <f>-E14-F14</f>
        <v>-107126.06521911133</v>
      </c>
      <c r="N14" s="10">
        <f>SUM(I14:M14)</f>
        <v>167861.56023713876</v>
      </c>
    </row>
    <row r="15" spans="1:14" ht="12.75">
      <c r="A15" s="21">
        <f>Assumptions!$H15</f>
        <v>2028</v>
      </c>
      <c r="B15" s="10">
        <f>IF(A15=Assumptions!$D$12,Assumptions!$D$14*(1-Assumptions!$B$3),G14)</f>
        <v>1040435.018484989</v>
      </c>
      <c r="C15" s="10">
        <f>'Project 4'!J15</f>
        <v>0</v>
      </c>
      <c r="D15" s="10">
        <f>IF(B15&lt;1,0,IF(A15=Assumptions!$D$12,Assumptions!$D$18*Assumptions!$D$22,IF(Assumptions!$E$19="Y",IF(A15&gt;Assumptions!$E$12,Assumptions!$D$24,Assumptions!$D$22),Assumptions!$D$22)))</f>
        <v>107126.06521911133</v>
      </c>
      <c r="E15" s="10">
        <f>D15-F15</f>
        <v>44699.964110012</v>
      </c>
      <c r="F15" s="10">
        <f>IF(B15=0,0,IF(D15&lt;Assumptions!$D$22,Assumptions!$D$18*Assumptions!$D$15*B15,B15*Assumptions!$D$15))</f>
        <v>62426.101109099334</v>
      </c>
      <c r="G15" s="10">
        <f>B15+C15-E15</f>
        <v>995735.0543749769</v>
      </c>
      <c r="I15" s="10">
        <f>IF(A15=Assumptions!$D$12,-Assumptions!$D$14*Assumptions!$B$3,0)</f>
        <v>0</v>
      </c>
      <c r="J15" s="10">
        <f>IF(Assumptions!$D$19="Y",-I15,0)</f>
        <v>0</v>
      </c>
      <c r="K15" s="10">
        <f>IF($A15-Assumptions!$D$13&lt;0,0,(Assumptions!$D$17*12*Assumptions!$D$16*Assumptions!$B$8)*(1+Assumptions!$B$9)^($A15-Assumptions!$D$13))</f>
        <v>481228.3445484377</v>
      </c>
      <c r="L15" s="10">
        <f>IF(K15=0,0,-K15*Assumptions!$B$7)</f>
        <v>-192491.3378193751</v>
      </c>
      <c r="M15" s="10">
        <f>-E15-F15</f>
        <v>-107126.06521911133</v>
      </c>
      <c r="N15" s="10">
        <f>SUM(I15:M15)</f>
        <v>181610.94150995126</v>
      </c>
    </row>
    <row r="16" spans="1:14" ht="12.75">
      <c r="A16" s="21">
        <f>Assumptions!$H16</f>
        <v>2029</v>
      </c>
      <c r="B16" s="10">
        <f>IF(A16=Assumptions!$D$12,Assumptions!$D$14*(1-Assumptions!$B$3),G15)</f>
        <v>995735.0543749769</v>
      </c>
      <c r="C16" s="10">
        <f>'Project 4'!J16</f>
        <v>0</v>
      </c>
      <c r="D16" s="10">
        <f>IF(B16&lt;1,0,IF(A16=Assumptions!$D$12,Assumptions!$D$18*Assumptions!$D$22,IF(Assumptions!$E$19="Y",IF(A16&gt;Assumptions!$E$12,Assumptions!$D$24,Assumptions!$D$22),Assumptions!$D$22)))</f>
        <v>107126.06521911133</v>
      </c>
      <c r="E16" s="10">
        <f>D16-F16</f>
        <v>47381.96195661272</v>
      </c>
      <c r="F16" s="10">
        <f>IF(B16=0,0,IF(D16&lt;Assumptions!$D$22,Assumptions!$D$18*Assumptions!$D$15*B16,B16*Assumptions!$D$15))</f>
        <v>59744.10326249861</v>
      </c>
      <c r="G16" s="10">
        <f>B16+C16-E16</f>
        <v>948353.0924183641</v>
      </c>
      <c r="I16" s="10">
        <f>IF(A16=Assumptions!$D$12,-Assumptions!$D$14*Assumptions!$B$3,0)</f>
        <v>0</v>
      </c>
      <c r="J16" s="10">
        <f>IF(Assumptions!$D$19="Y",-I16,0)</f>
        <v>0</v>
      </c>
      <c r="K16" s="10">
        <f>IF($A16-Assumptions!$D$13&lt;0,0,(Assumptions!$D$17*12*Assumptions!$D$16*Assumptions!$B$8)*(1+Assumptions!$B$9)^($A16-Assumptions!$D$13))</f>
        <v>505289.7617758596</v>
      </c>
      <c r="L16" s="10">
        <f>IF(K16=0,0,-K16*Assumptions!$B$7)</f>
        <v>-202115.90471034384</v>
      </c>
      <c r="M16" s="10">
        <f>-E16-F16</f>
        <v>-107126.06521911133</v>
      </c>
      <c r="N16" s="10">
        <f>SUM(I16:M16)</f>
        <v>196047.79184640438</v>
      </c>
    </row>
    <row r="17" spans="1:14" ht="12.75">
      <c r="A17" s="21">
        <f>Assumptions!$H17</f>
        <v>2030</v>
      </c>
      <c r="B17" s="10">
        <f>IF(A17=Assumptions!$D$12,Assumptions!$D$14*(1-Assumptions!$B$3),G16)</f>
        <v>948353.0924183641</v>
      </c>
      <c r="C17" s="10">
        <f>'Project 4'!J17</f>
        <v>0</v>
      </c>
      <c r="D17" s="10">
        <f>IF(B17&lt;1,0,IF(A17=Assumptions!$D$12,Assumptions!$D$18*Assumptions!$D$22,IF(Assumptions!$E$19="Y",IF(A17&gt;Assumptions!$E$12,Assumptions!$D$24,Assumptions!$D$22),Assumptions!$D$22)))</f>
        <v>107126.06521911133</v>
      </c>
      <c r="E17" s="10">
        <f>D17-F17</f>
        <v>50224.879674009484</v>
      </c>
      <c r="F17" s="10">
        <f>IF(B17=0,0,IF(D17&lt;Assumptions!$D$22,Assumptions!$D$18*Assumptions!$D$15*B17,B17*Assumptions!$D$15))</f>
        <v>56901.18554510185</v>
      </c>
      <c r="G17" s="10">
        <f>B17+C17-E17</f>
        <v>898128.2127443546</v>
      </c>
      <c r="I17" s="10">
        <f>IF(A17=Assumptions!$D$12,-Assumptions!$D$14*Assumptions!$B$3,0)</f>
        <v>0</v>
      </c>
      <c r="J17" s="10">
        <f>IF(Assumptions!$D$19="Y",-I17,0)</f>
        <v>0</v>
      </c>
      <c r="K17" s="10">
        <f>IF($A17-Assumptions!$D$13&lt;0,0,(Assumptions!$D$17*12*Assumptions!$D$16*Assumptions!$B$8)*(1+Assumptions!$B$9)^($A17-Assumptions!$D$13))</f>
        <v>530554.2498646525</v>
      </c>
      <c r="L17" s="10">
        <f>IF(K17=0,0,-K17*Assumptions!$B$7)</f>
        <v>-212221.699945861</v>
      </c>
      <c r="M17" s="10">
        <f>-E17-F17</f>
        <v>-107126.06521911133</v>
      </c>
      <c r="N17" s="10">
        <f>SUM(I17:M17)</f>
        <v>211206.48469968018</v>
      </c>
    </row>
    <row r="18" spans="1:14" ht="12.75">
      <c r="A18" s="21">
        <f>Assumptions!$H18</f>
        <v>2031</v>
      </c>
      <c r="B18" s="10">
        <f>IF(A18=Assumptions!$D$12,Assumptions!$D$14*(1-Assumptions!$B$3),G17)</f>
        <v>898128.2127443546</v>
      </c>
      <c r="C18" s="10">
        <f>'Project 4'!J18</f>
        <v>0</v>
      </c>
      <c r="D18" s="10">
        <f>IF(B18&lt;1,0,IF(A18=Assumptions!$D$12,Assumptions!$D$18*Assumptions!$D$22,IF(Assumptions!$E$19="Y",IF(A18&gt;Assumptions!$E$12,Assumptions!$D$24,Assumptions!$D$22),Assumptions!$D$22)))</f>
        <v>107126.06521911133</v>
      </c>
      <c r="E18" s="10">
        <f>D18-F18</f>
        <v>53238.37245445006</v>
      </c>
      <c r="F18" s="10">
        <f>IF(B18=0,0,IF(D18&lt;Assumptions!$D$22,Assumptions!$D$18*Assumptions!$D$15*B18,B18*Assumptions!$D$15))</f>
        <v>53887.692764661275</v>
      </c>
      <c r="G18" s="10">
        <f>B18+C18-E18</f>
        <v>844889.8402899045</v>
      </c>
      <c r="I18" s="10">
        <f>IF(A18=Assumptions!$D$12,-Assumptions!$D$14*Assumptions!$B$3,0)</f>
        <v>0</v>
      </c>
      <c r="J18" s="10">
        <f>IF(Assumptions!$D$19="Y",-I18,0)</f>
        <v>0</v>
      </c>
      <c r="K18" s="10">
        <f>IF($A18-Assumptions!$D$13&lt;0,0,(Assumptions!$D$17*12*Assumptions!$D$16*Assumptions!$B$8)*(1+Assumptions!$B$9)^($A18-Assumptions!$D$13))</f>
        <v>557081.9623578852</v>
      </c>
      <c r="L18" s="10">
        <f>IF(K18=0,0,-K18*Assumptions!$B$7)</f>
        <v>-222832.78494315408</v>
      </c>
      <c r="M18" s="10">
        <f>-E18-F18</f>
        <v>-107126.06521911133</v>
      </c>
      <c r="N18" s="10">
        <f>SUM(I18:M18)</f>
        <v>227123.1121956198</v>
      </c>
    </row>
    <row r="19" spans="1:14" ht="12.75">
      <c r="A19" s="21">
        <f>Assumptions!$H19</f>
        <v>2032</v>
      </c>
      <c r="B19" s="10">
        <f>IF(A19=Assumptions!$D$12,Assumptions!$D$14*(1-Assumptions!$B$3),G18)</f>
        <v>844889.8402899045</v>
      </c>
      <c r="C19" s="10">
        <f>'Project 4'!J19</f>
        <v>0</v>
      </c>
      <c r="D19" s="10">
        <f>IF(B19&lt;1,0,IF(A19=Assumptions!$D$12,Assumptions!$D$18*Assumptions!$D$22,IF(Assumptions!$E$19="Y",IF(A19&gt;Assumptions!$E$12,Assumptions!$D$24,Assumptions!$D$22),Assumptions!$D$22)))</f>
        <v>107126.06521911133</v>
      </c>
      <c r="E19" s="10">
        <f>D19-F19</f>
        <v>56432.67480171706</v>
      </c>
      <c r="F19" s="10">
        <f>IF(B19=0,0,IF(D19&lt;Assumptions!$D$22,Assumptions!$D$18*Assumptions!$D$15*B19,B19*Assumptions!$D$15))</f>
        <v>50693.39041739427</v>
      </c>
      <c r="G19" s="10">
        <f>B19+C19-E19</f>
        <v>788457.1654881875</v>
      </c>
      <c r="I19" s="10">
        <f>IF(A19=Assumptions!$D$12,-Assumptions!$D$14*Assumptions!$B$3,0)</f>
        <v>0</v>
      </c>
      <c r="J19" s="10">
        <f>IF(Assumptions!$D$19="Y",-I19,0)</f>
        <v>0</v>
      </c>
      <c r="K19" s="10">
        <f>IF($A19-Assumptions!$D$13&lt;0,0,(Assumptions!$D$17*12*Assumptions!$D$16*Assumptions!$B$8)*(1+Assumptions!$B$9)^($A19-Assumptions!$D$13))</f>
        <v>584936.0604757795</v>
      </c>
      <c r="L19" s="10">
        <f>IF(K19=0,0,-K19*Assumptions!$B$7)</f>
        <v>-233974.4241903118</v>
      </c>
      <c r="M19" s="10">
        <f>-E19-F19</f>
        <v>-107126.06521911133</v>
      </c>
      <c r="N19" s="10">
        <f>SUM(I19:M19)</f>
        <v>243835.57106635632</v>
      </c>
    </row>
    <row r="20" spans="1:14" ht="12.75">
      <c r="A20" s="21">
        <f>Assumptions!$H20</f>
        <v>2033</v>
      </c>
      <c r="B20" s="10">
        <f>IF(A20=Assumptions!$D$12,Assumptions!$D$14*(1-Assumptions!$B$3),G19)</f>
        <v>788457.1654881875</v>
      </c>
      <c r="C20" s="10">
        <f>'Project 4'!J20</f>
        <v>0</v>
      </c>
      <c r="D20" s="10">
        <f>IF(B20&lt;1,0,IF(A20=Assumptions!$D$12,Assumptions!$D$18*Assumptions!$D$22,IF(Assumptions!$E$19="Y",IF(A20&gt;Assumptions!$E$12,Assumptions!$D$24,Assumptions!$D$22),Assumptions!$D$22)))</f>
        <v>107126.06521911133</v>
      </c>
      <c r="E20" s="10">
        <f>D20-F20</f>
        <v>59818.635289820086</v>
      </c>
      <c r="F20" s="10">
        <f>IF(B20=0,0,IF(D20&lt;Assumptions!$D$22,Assumptions!$D$18*Assumptions!$D$15*B20,B20*Assumptions!$D$15))</f>
        <v>47307.42992929125</v>
      </c>
      <c r="G20" s="10">
        <f>B20+C20-E20</f>
        <v>728638.5301983673</v>
      </c>
      <c r="I20" s="10">
        <f>IF(A20=Assumptions!$D$12,-Assumptions!$D$14*Assumptions!$B$3,0)</f>
        <v>0</v>
      </c>
      <c r="J20" s="10">
        <f>IF(Assumptions!$D$19="Y",-I20,0)</f>
        <v>0</v>
      </c>
      <c r="K20" s="10">
        <f>IF($A20-Assumptions!$D$13&lt;0,0,(Assumptions!$D$17*12*Assumptions!$D$16*Assumptions!$B$8)*(1+Assumptions!$B$9)^($A20-Assumptions!$D$13))</f>
        <v>614182.8634995685</v>
      </c>
      <c r="L20" s="10">
        <f>IF(K20=0,0,-K20*Assumptions!$B$7)</f>
        <v>-245673.14539982742</v>
      </c>
      <c r="M20" s="10">
        <f>-E20-F20</f>
        <v>-107126.06521911133</v>
      </c>
      <c r="N20" s="10">
        <f>SUM(I20:M20)</f>
        <v>261383.65288062976</v>
      </c>
    </row>
    <row r="21" spans="1:14" ht="12.75">
      <c r="A21" s="21">
        <f>Assumptions!$H21</f>
        <v>2034</v>
      </c>
      <c r="B21" s="10">
        <f>IF(A21=Assumptions!$D$12,Assumptions!$D$14*(1-Assumptions!$B$3),G20)</f>
        <v>728638.5301983673</v>
      </c>
      <c r="C21" s="10">
        <f>'Project 4'!J21</f>
        <v>0</v>
      </c>
      <c r="D21" s="10">
        <f>IF(B21&lt;1,0,IF(A21=Assumptions!$D$12,Assumptions!$D$18*Assumptions!$D$22,IF(Assumptions!$E$19="Y",IF(A21&gt;Assumptions!$E$12,Assumptions!$D$24,Assumptions!$D$22),Assumptions!$D$22)))</f>
        <v>107126.06521911133</v>
      </c>
      <c r="E21" s="10">
        <f>D21-F21</f>
        <v>63407.7534072093</v>
      </c>
      <c r="F21" s="10">
        <f>IF(B21=0,0,IF(D21&lt;Assumptions!$D$22,Assumptions!$D$18*Assumptions!$D$15*B21,B21*Assumptions!$D$15))</f>
        <v>43718.31181190204</v>
      </c>
      <c r="G21" s="10">
        <f>B21+C21-E21</f>
        <v>665230.776791158</v>
      </c>
      <c r="I21" s="10">
        <f>IF(A21=Assumptions!$D$12,-Assumptions!$D$14*Assumptions!$B$3,0)</f>
        <v>0</v>
      </c>
      <c r="J21" s="10">
        <f>IF(Assumptions!$D$19="Y",-I21,0)</f>
        <v>0</v>
      </c>
      <c r="K21" s="10">
        <f>IF($A21-Assumptions!$D$13&lt;0,0,(Assumptions!$D$17*12*Assumptions!$D$16*Assumptions!$B$8)*(1+Assumptions!$B$9)^($A21-Assumptions!$D$13))</f>
        <v>644892.006674547</v>
      </c>
      <c r="L21" s="10">
        <f>IF(K21=0,0,-K21*Assumptions!$B$7)</f>
        <v>-257956.8026698188</v>
      </c>
      <c r="M21" s="10">
        <f>-E21-F21</f>
        <v>-107126.06521911133</v>
      </c>
      <c r="N21" s="10">
        <f>SUM(I21:M21)</f>
        <v>279809.13878561684</v>
      </c>
    </row>
    <row r="22" spans="1:14" ht="12.75">
      <c r="A22" s="21">
        <f>Assumptions!$H22</f>
        <v>2035</v>
      </c>
      <c r="B22" s="10">
        <f>IF(A22=Assumptions!$D$12,Assumptions!$D$14*(1-Assumptions!$B$3),G21)</f>
        <v>665230.776791158</v>
      </c>
      <c r="C22" s="10">
        <f>'Project 4'!J22</f>
        <v>0</v>
      </c>
      <c r="D22" s="10">
        <f>IF(B22&lt;1,0,IF(A22=Assumptions!$D$12,Assumptions!$D$18*Assumptions!$D$22,IF(Assumptions!$E$19="Y",IF(A22&gt;Assumptions!$E$12,Assumptions!$D$24,Assumptions!$D$22),Assumptions!$D$22)))</f>
        <v>107126.06521911133</v>
      </c>
      <c r="E22" s="10">
        <f>D22-F22</f>
        <v>67212.21861164185</v>
      </c>
      <c r="F22" s="10">
        <f>IF(B22=0,0,IF(D22&lt;Assumptions!$D$22,Assumptions!$D$18*Assumptions!$D$15*B22,B22*Assumptions!$D$15))</f>
        <v>39913.84660746948</v>
      </c>
      <c r="G22" s="10">
        <f>B22+C22-E22</f>
        <v>598018.5581795161</v>
      </c>
      <c r="I22" s="10">
        <f>IF(A22=Assumptions!$D$12,-Assumptions!$D$14*Assumptions!$B$3,0)</f>
        <v>0</v>
      </c>
      <c r="J22" s="10">
        <f>IF(Assumptions!$D$19="Y",-I22,0)</f>
        <v>0</v>
      </c>
      <c r="K22" s="10">
        <f>IF($A22-Assumptions!$D$13&lt;0,0,(Assumptions!$D$17*12*Assumptions!$D$16*Assumptions!$B$8)*(1+Assumptions!$B$9)^($A22-Assumptions!$D$13))</f>
        <v>677136.6070082743</v>
      </c>
      <c r="L22" s="10">
        <f>IF(K22=0,0,-K22*Assumptions!$B$7)</f>
        <v>-270854.6428033097</v>
      </c>
      <c r="M22" s="10">
        <f>-E22-F22</f>
        <v>-107126.06521911133</v>
      </c>
      <c r="N22" s="10">
        <f>SUM(I22:M22)</f>
        <v>299155.89898585324</v>
      </c>
    </row>
    <row r="23" spans="1:14" ht="12.75">
      <c r="A23" s="21">
        <f>Assumptions!$H23</f>
        <v>2036</v>
      </c>
      <c r="B23" s="10">
        <f>IF(A23=Assumptions!$D$12,Assumptions!$D$14*(1-Assumptions!$B$3),G22)</f>
        <v>598018.5581795161</v>
      </c>
      <c r="C23" s="10">
        <f>'Project 4'!J23</f>
        <v>0</v>
      </c>
      <c r="D23" s="10">
        <f>IF(B23&lt;1,0,IF(A23=Assumptions!$D$12,Assumptions!$D$18*Assumptions!$D$22,IF(Assumptions!$E$19="Y",IF(A23&gt;Assumptions!$E$12,Assumptions!$D$24,Assumptions!$D$22),Assumptions!$D$22)))</f>
        <v>107126.06521911133</v>
      </c>
      <c r="E23" s="10">
        <f>D23-F23</f>
        <v>71244.95172834037</v>
      </c>
      <c r="F23" s="10">
        <f>IF(B23=0,0,IF(D23&lt;Assumptions!$D$22,Assumptions!$D$18*Assumptions!$D$15*B23,B23*Assumptions!$D$15))</f>
        <v>35881.113490770964</v>
      </c>
      <c r="G23" s="10">
        <f>B23+C23-E23</f>
        <v>526773.6064511758</v>
      </c>
      <c r="I23" s="10">
        <f>IF(A23=Assumptions!$D$12,-Assumptions!$D$14*Assumptions!$B$3,0)</f>
        <v>0</v>
      </c>
      <c r="J23" s="10">
        <f>IF(Assumptions!$D$19="Y",-I23,0)</f>
        <v>0</v>
      </c>
      <c r="K23" s="10">
        <f>IF($A23-Assumptions!$D$13&lt;0,0,(Assumptions!$D$17*12*Assumptions!$D$16*Assumptions!$B$8)*(1+Assumptions!$B$9)^($A23-Assumptions!$D$13))</f>
        <v>710993.4373586881</v>
      </c>
      <c r="L23" s="10">
        <f>IF(K23=0,0,-K23*Assumptions!$B$7)</f>
        <v>-284397.37494347524</v>
      </c>
      <c r="M23" s="10">
        <f>-E23-F23</f>
        <v>-107126.06521911133</v>
      </c>
      <c r="N23" s="10">
        <f>SUM(I23:M23)</f>
        <v>319469.9971961015</v>
      </c>
    </row>
    <row r="24" spans="1:14" ht="12.75">
      <c r="A24" s="21">
        <f>Assumptions!$H24</f>
        <v>2037</v>
      </c>
      <c r="B24" s="10">
        <f>IF(A24=Assumptions!$D$12,Assumptions!$D$14*(1-Assumptions!$B$3),G23)</f>
        <v>526773.6064511758</v>
      </c>
      <c r="C24" s="10">
        <f>'Project 4'!J24</f>
        <v>0</v>
      </c>
      <c r="D24" s="10">
        <f>IF(B24&lt;1,0,IF(A24=Assumptions!$D$12,Assumptions!$D$18*Assumptions!$D$22,IF(Assumptions!$E$19="Y",IF(A24&gt;Assumptions!$E$12,Assumptions!$D$24,Assumptions!$D$22),Assumptions!$D$22)))</f>
        <v>107126.06521911133</v>
      </c>
      <c r="E24" s="10">
        <f>D24-F24</f>
        <v>75519.64883204078</v>
      </c>
      <c r="F24" s="10">
        <f>IF(B24=0,0,IF(D24&lt;Assumptions!$D$22,Assumptions!$D$18*Assumptions!$D$15*B24,B24*Assumptions!$D$15))</f>
        <v>31606.416387070545</v>
      </c>
      <c r="G24" s="10">
        <f>B24+C24-E24</f>
        <v>451253.957619135</v>
      </c>
      <c r="I24" s="10">
        <f>IF(A24=Assumptions!$D$12,-Assumptions!$D$14*Assumptions!$B$3,0)</f>
        <v>0</v>
      </c>
      <c r="J24" s="10">
        <f>IF(Assumptions!$D$19="Y",-I24,0)</f>
        <v>0</v>
      </c>
      <c r="K24" s="10">
        <f>IF($A24-Assumptions!$D$13&lt;0,0,(Assumptions!$D$17*12*Assumptions!$D$16*Assumptions!$B$8)*(1+Assumptions!$B$9)^($A24-Assumptions!$D$13))</f>
        <v>746543.1092266224</v>
      </c>
      <c r="L24" s="10">
        <f>IF(K24=0,0,-K24*Assumptions!$B$7)</f>
        <v>-298617.243690649</v>
      </c>
      <c r="M24" s="10">
        <f>-E24-F24</f>
        <v>-107126.06521911133</v>
      </c>
      <c r="N24" s="10">
        <f>SUM(I24:M24)</f>
        <v>340799.80031686206</v>
      </c>
    </row>
    <row r="25" spans="1:14" ht="12.75">
      <c r="A25" s="21">
        <f>Assumptions!$H25</f>
        <v>2038</v>
      </c>
      <c r="B25" s="10">
        <f>IF(A25=Assumptions!$D$12,Assumptions!$D$14*(1-Assumptions!$B$3),G24)</f>
        <v>451253.957619135</v>
      </c>
      <c r="C25" s="10">
        <f>'Project 4'!J25</f>
        <v>0</v>
      </c>
      <c r="D25" s="10">
        <f>IF(B25&lt;1,0,IF(A25=Assumptions!$D$12,Assumptions!$D$18*Assumptions!$D$22,IF(Assumptions!$E$19="Y",IF(A25&gt;Assumptions!$E$12,Assumptions!$D$24,Assumptions!$D$22),Assumptions!$D$22)))</f>
        <v>107126.06521911133</v>
      </c>
      <c r="E25" s="10">
        <f>D25-F25</f>
        <v>80050.82776196324</v>
      </c>
      <c r="F25" s="10">
        <f>IF(B25=0,0,IF(D25&lt;Assumptions!$D$22,Assumptions!$D$18*Assumptions!$D$15*B25,B25*Assumptions!$D$15))</f>
        <v>27075.237457148098</v>
      </c>
      <c r="G25" s="10">
        <f>B25+C25-E25</f>
        <v>371203.12985717173</v>
      </c>
      <c r="I25" s="10">
        <f>IF(A25=Assumptions!$D$12,-Assumptions!$D$14*Assumptions!$B$3,0)</f>
        <v>0</v>
      </c>
      <c r="J25" s="10">
        <f>IF(Assumptions!$D$19="Y",-I25,0)</f>
        <v>0</v>
      </c>
      <c r="K25" s="10">
        <f>IF($A25-Assumptions!$D$13&lt;0,0,(Assumptions!$D$17*12*Assumptions!$D$16*Assumptions!$B$8)*(1+Assumptions!$B$9)^($A25-Assumptions!$D$13))</f>
        <v>783870.2646879536</v>
      </c>
      <c r="L25" s="10">
        <f>IF(K25=0,0,-K25*Assumptions!$B$7)</f>
        <v>-313548.10587518144</v>
      </c>
      <c r="M25" s="10">
        <f>-E25-F25</f>
        <v>-107126.06521911133</v>
      </c>
      <c r="N25" s="10">
        <f>SUM(I25:M25)</f>
        <v>363196.09359366086</v>
      </c>
    </row>
    <row r="26" spans="1:14" ht="12.75">
      <c r="A26" s="21">
        <f>Assumptions!$H26</f>
        <v>2039</v>
      </c>
      <c r="B26" s="10">
        <f>IF(A26=Assumptions!$D$12,Assumptions!$D$14*(1-Assumptions!$B$3),G25)</f>
        <v>371203.12985717173</v>
      </c>
      <c r="C26" s="10">
        <f>'Project 4'!J26</f>
        <v>0</v>
      </c>
      <c r="D26" s="10">
        <f>IF(B26&lt;1,0,IF(A26=Assumptions!$D$12,Assumptions!$D$18*Assumptions!$D$22,IF(Assumptions!$E$19="Y",IF(A26&gt;Assumptions!$E$12,Assumptions!$D$24,Assumptions!$D$22),Assumptions!$D$22)))</f>
        <v>107126.06521911133</v>
      </c>
      <c r="E26" s="10">
        <f>D26-F26</f>
        <v>84853.87742768103</v>
      </c>
      <c r="F26" s="10">
        <f>IF(B26=0,0,IF(D26&lt;Assumptions!$D$22,Assumptions!$D$18*Assumptions!$D$15*B26,B26*Assumptions!$D$15))</f>
        <v>22272.187791430304</v>
      </c>
      <c r="G26" s="10">
        <f>B26+C26-E26</f>
        <v>286349.2524294907</v>
      </c>
      <c r="I26" s="10">
        <f>IF(A26=Assumptions!$D$12,-Assumptions!$D$14*Assumptions!$B$3,0)</f>
        <v>0</v>
      </c>
      <c r="J26" s="10">
        <f>IF(Assumptions!$D$19="Y",-I26,0)</f>
        <v>0</v>
      </c>
      <c r="K26" s="10">
        <f>IF($A26-Assumptions!$D$13&lt;0,0,(Assumptions!$D$17*12*Assumptions!$D$16*Assumptions!$B$8)*(1+Assumptions!$B$9)^($A26-Assumptions!$D$13))</f>
        <v>823063.7779223513</v>
      </c>
      <c r="L26" s="10">
        <f>IF(K26=0,0,-K26*Assumptions!$B$7)</f>
        <v>-329225.5111689405</v>
      </c>
      <c r="M26" s="10">
        <f>-E26-F26</f>
        <v>-107126.06521911133</v>
      </c>
      <c r="N26" s="10">
        <f>SUM(I26:M26)</f>
        <v>386712.2015342994</v>
      </c>
    </row>
    <row r="27" spans="1:14" ht="12.75">
      <c r="A27" s="21">
        <f>Assumptions!$H27</f>
        <v>2040</v>
      </c>
      <c r="B27" s="10">
        <f>IF(A27=Assumptions!$D$12,Assumptions!$D$14*(1-Assumptions!$B$3),G26)</f>
        <v>286349.2524294907</v>
      </c>
      <c r="C27" s="10">
        <f>'Project 4'!J27</f>
        <v>0</v>
      </c>
      <c r="D27" s="10">
        <f>IF(B27&lt;1,0,IF(A27=Assumptions!$D$12,Assumptions!$D$18*Assumptions!$D$22,IF(Assumptions!$E$19="Y",IF(A27&gt;Assumptions!$E$12,Assumptions!$D$24,Assumptions!$D$22),Assumptions!$D$22)))</f>
        <v>107126.06521911133</v>
      </c>
      <c r="E27" s="10">
        <f>D27-F27</f>
        <v>89945.1100733419</v>
      </c>
      <c r="F27" s="10">
        <f>IF(B27=0,0,IF(D27&lt;Assumptions!$D$22,Assumptions!$D$18*Assumptions!$D$15*B27,B27*Assumptions!$D$15))</f>
        <v>17180.95514576944</v>
      </c>
      <c r="G27" s="10">
        <f>B27+C27-E27</f>
        <v>196404.14235614878</v>
      </c>
      <c r="I27" s="10">
        <f>IF(A27=Assumptions!$D$12,-Assumptions!$D$14*Assumptions!$B$3,0)</f>
        <v>0</v>
      </c>
      <c r="J27" s="10">
        <f>IF(Assumptions!$D$19="Y",-I27,0)</f>
        <v>0</v>
      </c>
      <c r="K27" s="10">
        <f>IF($A27-Assumptions!$D$13&lt;0,0,(Assumptions!$D$17*12*Assumptions!$D$16*Assumptions!$B$8)*(1+Assumptions!$B$9)^($A27-Assumptions!$D$13))</f>
        <v>864216.966818469</v>
      </c>
      <c r="L27" s="10">
        <f>IF(K27=0,0,-K27*Assumptions!$B$7)</f>
        <v>-345686.78672738763</v>
      </c>
      <c r="M27" s="10">
        <f>-E27-F27</f>
        <v>-107126.06521911133</v>
      </c>
      <c r="N27" s="10">
        <f>SUM(I27:M27)</f>
        <v>411404.11487197</v>
      </c>
    </row>
    <row r="28" spans="1:14" ht="12.75">
      <c r="A28" s="21">
        <f>Assumptions!$H28</f>
        <v>2041</v>
      </c>
      <c r="B28" s="10">
        <f>IF(A28=Assumptions!$D$12,Assumptions!$D$14*(1-Assumptions!$B$3),G27)</f>
        <v>196404.14235614878</v>
      </c>
      <c r="C28" s="10">
        <f>'Project 4'!J28</f>
        <v>0</v>
      </c>
      <c r="D28" s="10">
        <f>IF(B28&lt;1,0,IF(A28=Assumptions!$D$12,Assumptions!$D$18*Assumptions!$D$22,IF(Assumptions!$E$19="Y",IF(A28&gt;Assumptions!$E$12,Assumptions!$D$24,Assumptions!$D$22),Assumptions!$D$22)))</f>
        <v>107126.06521911133</v>
      </c>
      <c r="E28" s="10">
        <f>D28-F28</f>
        <v>95341.8166777424</v>
      </c>
      <c r="F28" s="10">
        <f>IF(B28=0,0,IF(D28&lt;Assumptions!$D$22,Assumptions!$D$18*Assumptions!$D$15*B28,B28*Assumptions!$D$15))</f>
        <v>11784.248541368926</v>
      </c>
      <c r="G28" s="10">
        <f>B28+C28-E28</f>
        <v>101062.32567840637</v>
      </c>
      <c r="I28" s="10">
        <f>IF(A28=Assumptions!$D$12,-Assumptions!$D$14*Assumptions!$B$3,0)</f>
        <v>0</v>
      </c>
      <c r="J28" s="10">
        <f>IF(Assumptions!$D$19="Y",-I28,0)</f>
        <v>0</v>
      </c>
      <c r="K28" s="10">
        <f>IF($A28-Assumptions!$D$13&lt;0,0,(Assumptions!$D$17*12*Assumptions!$D$16*Assumptions!$B$8)*(1+Assumptions!$B$9)^($A28-Assumptions!$D$13))</f>
        <v>907427.8151593924</v>
      </c>
      <c r="L28" s="10">
        <f>IF(K28=0,0,-K28*Assumptions!$B$7)</f>
        <v>-362971.126063757</v>
      </c>
      <c r="M28" s="10">
        <f>-E28-F28</f>
        <v>-107126.06521911133</v>
      </c>
      <c r="N28" s="10">
        <f>SUM(I28:M28)</f>
        <v>437330.6238765241</v>
      </c>
    </row>
    <row r="29" spans="1:14" ht="12.75">
      <c r="A29" s="21">
        <f>Assumptions!$H29</f>
        <v>2042</v>
      </c>
      <c r="B29" s="10">
        <f>IF(A29=Assumptions!$D$12,Assumptions!$D$14*(1-Assumptions!$B$3),G28)</f>
        <v>101062.32567840637</v>
      </c>
      <c r="C29" s="10">
        <f>'Project 4'!J29</f>
        <v>0</v>
      </c>
      <c r="D29" s="10">
        <f>IF(B29&lt;1,0,IF(A29=Assumptions!$D$12,Assumptions!$D$18*Assumptions!$D$22,IF(Assumptions!$E$19="Y",IF(A29&gt;Assumptions!$E$12,Assumptions!$D$24,Assumptions!$D$22),Assumptions!$D$22)))</f>
        <v>107126.06521911133</v>
      </c>
      <c r="E29" s="10">
        <f>D29-F29</f>
        <v>101062.32567840695</v>
      </c>
      <c r="F29" s="10">
        <f>IF(B29=0,0,IF(D29&lt;Assumptions!$D$22,Assumptions!$D$18*Assumptions!$D$15*B29,B29*Assumptions!$D$15))</f>
        <v>6063.739540704382</v>
      </c>
      <c r="G29" s="10">
        <f>B29+C29-E29</f>
        <v>-5.820766091346741E-10</v>
      </c>
      <c r="I29" s="10">
        <f>IF(A29=Assumptions!$D$12,-Assumptions!$D$14*Assumptions!$B$3,0)</f>
        <v>0</v>
      </c>
      <c r="J29" s="10">
        <f>IF(Assumptions!$D$19="Y",-I29,0)</f>
        <v>0</v>
      </c>
      <c r="K29" s="10">
        <f>IF($A29-Assumptions!$D$13&lt;0,0,(Assumptions!$D$17*12*Assumptions!$D$16*Assumptions!$B$8)*(1+Assumptions!$B$9)^($A29-Assumptions!$D$13))</f>
        <v>952799.2059173621</v>
      </c>
      <c r="L29" s="10">
        <f>IF(K29=0,0,-K29*Assumptions!$B$7)</f>
        <v>-381119.68236694485</v>
      </c>
      <c r="M29" s="10">
        <f>-E29-F29</f>
        <v>-107126.06521911133</v>
      </c>
      <c r="N29" s="10">
        <f>SUM(I29:M29)</f>
        <v>464553.45833130594</v>
      </c>
    </row>
    <row r="30" spans="1:14" ht="12.75">
      <c r="A30" s="21">
        <f>Assumptions!$H30</f>
        <v>2043</v>
      </c>
      <c r="B30" s="10">
        <f>IF(A30=Assumptions!$D$12,Assumptions!$D$14*(1-Assumptions!$B$3),G29)</f>
        <v>-5.820766091346741E-10</v>
      </c>
      <c r="C30" s="10">
        <f>'Project 4'!J30</f>
        <v>0</v>
      </c>
      <c r="D30" s="10">
        <f>IF(B30&lt;1,0,IF(A30=Assumptions!$D$12,Assumptions!$D$18*Assumptions!$D$22,IF(Assumptions!$E$19="Y",IF(A30&gt;Assumptions!$E$12,Assumptions!$D$24,Assumptions!$D$22),Assumptions!$D$22)))</f>
        <v>0</v>
      </c>
      <c r="E30" s="10">
        <f>D30-F30</f>
        <v>1.746229827404022E-11</v>
      </c>
      <c r="F30" s="10">
        <f>IF(B30=0,0,IF(D30&lt;Assumptions!$D$22,Assumptions!$D$18*Assumptions!$D$15*B30,B30*Assumptions!$D$15))</f>
        <v>-1.746229827404022E-11</v>
      </c>
      <c r="G30" s="10">
        <f>B30+C30-E30</f>
        <v>-5.995389074087143E-10</v>
      </c>
      <c r="I30" s="10">
        <f>IF(A30=Assumptions!$D$12,-Assumptions!$D$14*Assumptions!$B$3,0)</f>
        <v>0</v>
      </c>
      <c r="J30" s="10">
        <f>IF(Assumptions!$D$19="Y",-I30,0)</f>
        <v>0</v>
      </c>
      <c r="K30" s="10">
        <f>IF($A30-Assumptions!$D$13&lt;0,0,(Assumptions!$D$17*12*Assumptions!$D$16*Assumptions!$B$8)*(1+Assumptions!$B$9)^($A30-Assumptions!$D$13))</f>
        <v>1000439.1662132302</v>
      </c>
      <c r="L30" s="10">
        <f>IF(K30=0,0,-K30*Assumptions!$B$7)</f>
        <v>-400175.66648529214</v>
      </c>
      <c r="M30" s="10">
        <f>-E30-F30</f>
        <v>0</v>
      </c>
      <c r="N30" s="10">
        <f>SUM(I30:M30)</f>
        <v>600263.4997279381</v>
      </c>
    </row>
    <row r="31" spans="1:14" ht="12.75">
      <c r="A31" s="21">
        <f>Assumptions!$H31</f>
        <v>2044</v>
      </c>
      <c r="B31" s="10">
        <f>IF(A31=Assumptions!$D$12,Assumptions!$D$14*(1-Assumptions!$B$3),G30)</f>
        <v>-5.995389074087143E-10</v>
      </c>
      <c r="C31" s="10">
        <f>'Project 4'!J31</f>
        <v>0</v>
      </c>
      <c r="D31" s="10">
        <f>IF(B31&lt;1,0,IF(A31=Assumptions!$D$12,Assumptions!$D$18*Assumptions!$D$22,IF(Assumptions!$E$19="Y",IF(A31&gt;Assumptions!$E$12,Assumptions!$D$24,Assumptions!$D$22),Assumptions!$D$22)))</f>
        <v>0</v>
      </c>
      <c r="E31" s="10">
        <f>D31-F31</f>
        <v>1.798616722226143E-11</v>
      </c>
      <c r="F31" s="10">
        <f>IF(B31=0,0,IF(D31&lt;Assumptions!$D$22,Assumptions!$D$18*Assumptions!$D$15*B31,B31*Assumptions!$D$15))</f>
        <v>-1.798616722226143E-11</v>
      </c>
      <c r="G31" s="10">
        <f>B31+C31-E31</f>
        <v>-6.175250746309757E-10</v>
      </c>
      <c r="I31" s="10">
        <f>IF(A31=Assumptions!$D$12,-Assumptions!$D$14*Assumptions!$B$3,0)</f>
        <v>0</v>
      </c>
      <c r="J31" s="10">
        <f>IF(Assumptions!$D$19="Y",-I31,0)</f>
        <v>0</v>
      </c>
      <c r="K31" s="10">
        <f>IF($A31-Assumptions!$D$13&lt;0,0,(Assumptions!$D$17*12*Assumptions!$D$16*Assumptions!$B$8)*(1+Assumptions!$B$9)^($A31-Assumptions!$D$13))</f>
        <v>1050461.1245238918</v>
      </c>
      <c r="L31" s="10">
        <f>IF(K31=0,0,-K31*Assumptions!$B$7)</f>
        <v>-420184.44980955677</v>
      </c>
      <c r="M31" s="10">
        <f>-E31-F31</f>
        <v>0</v>
      </c>
      <c r="N31" s="10">
        <f>SUM(I31:M31)</f>
        <v>630276.674714335</v>
      </c>
    </row>
    <row r="32" spans="1:14" ht="12.75">
      <c r="A32" s="21">
        <f>Assumptions!$H32</f>
        <v>2045</v>
      </c>
      <c r="B32" s="10">
        <f>IF(A32=Assumptions!$D$12,Assumptions!$D$14*(1-Assumptions!$B$3),G31)</f>
        <v>-6.175250746309757E-10</v>
      </c>
      <c r="C32" s="10">
        <f>'Project 4'!J32</f>
        <v>0</v>
      </c>
      <c r="D32" s="10">
        <f>IF(B32&lt;1,0,IF(A32=Assumptions!$D$12,Assumptions!$D$18*Assumptions!$D$22,IF(Assumptions!$E$19="Y",IF(A32&gt;Assumptions!$E$12,Assumptions!$D$24,Assumptions!$D$22),Assumptions!$D$22)))</f>
        <v>0</v>
      </c>
      <c r="E32" s="10">
        <f>D32-F32</f>
        <v>1.852575223892927E-11</v>
      </c>
      <c r="F32" s="10">
        <f>IF(B32=0,0,IF(D32&lt;Assumptions!$D$22,Assumptions!$D$18*Assumptions!$D$15*B32,B32*Assumptions!$D$15))</f>
        <v>-1.852575223892927E-11</v>
      </c>
      <c r="G32" s="10">
        <f>B32+C32-E32</f>
        <v>-6.36050826869905E-10</v>
      </c>
      <c r="I32" s="10">
        <f>IF(A32=Assumptions!$D$12,-Assumptions!$D$14*Assumptions!$B$3,0)</f>
        <v>0</v>
      </c>
      <c r="J32" s="10">
        <f>IF(Assumptions!$D$19="Y",-I32,0)</f>
        <v>0</v>
      </c>
      <c r="K32" s="10">
        <f>IF($A32-Assumptions!$D$13&lt;0,0,(Assumptions!$D$17*12*Assumptions!$D$16*Assumptions!$B$8)*(1+Assumptions!$B$9)^($A32-Assumptions!$D$13))</f>
        <v>1102984.1807500864</v>
      </c>
      <c r="L32" s="10">
        <f>IF(K32=0,0,-K32*Assumptions!$B$7)</f>
        <v>-441193.6723000346</v>
      </c>
      <c r="M32" s="10">
        <f>-E32-F32</f>
        <v>0</v>
      </c>
      <c r="N32" s="10">
        <f>SUM(I32:M32)</f>
        <v>661790.5084500518</v>
      </c>
    </row>
    <row r="33" spans="1:14" ht="12.75">
      <c r="A33" s="21">
        <f>Assumptions!$H33</f>
        <v>2046</v>
      </c>
      <c r="B33" s="10">
        <f>IF(A33=Assumptions!$D$12,Assumptions!$D$14*(1-Assumptions!$B$3),G32)</f>
        <v>-6.36050826869905E-10</v>
      </c>
      <c r="C33" s="10">
        <f>'Project 4'!J33</f>
        <v>0</v>
      </c>
      <c r="D33" s="10">
        <f>IF(B33&lt;1,0,IF(A33=Assumptions!$D$12,Assumptions!$D$18*Assumptions!$D$22,IF(Assumptions!$E$19="Y",IF(A33&gt;Assumptions!$E$12,Assumptions!$D$24,Assumptions!$D$22),Assumptions!$D$22)))</f>
        <v>0</v>
      </c>
      <c r="E33" s="10">
        <f>D33-F33</f>
        <v>1.908152480609715E-11</v>
      </c>
      <c r="F33" s="10">
        <f>IF(B33=0,0,IF(D33&lt;Assumptions!$D$22,Assumptions!$D$18*Assumptions!$D$15*B33,B33*Assumptions!$D$15))</f>
        <v>-1.908152480609715E-11</v>
      </c>
      <c r="G33" s="10">
        <f>B33+C33-E33</f>
        <v>-6.551323516760021E-10</v>
      </c>
      <c r="I33" s="10">
        <f>IF(A33=Assumptions!$D$12,-Assumptions!$D$14*Assumptions!$B$3,0)</f>
        <v>0</v>
      </c>
      <c r="J33" s="10">
        <f>IF(Assumptions!$D$19="Y",-I33,0)</f>
        <v>0</v>
      </c>
      <c r="K33" s="10">
        <f>IF($A33-Assumptions!$D$13&lt;0,0,(Assumptions!$D$17*12*Assumptions!$D$16*Assumptions!$B$8)*(1+Assumptions!$B$9)^($A33-Assumptions!$D$13))</f>
        <v>1158133.3897875908</v>
      </c>
      <c r="L33" s="10">
        <f>IF(K33=0,0,-K33*Assumptions!$B$7)</f>
        <v>-463253.35591503634</v>
      </c>
      <c r="M33" s="10">
        <f>-E33-F33</f>
        <v>0</v>
      </c>
      <c r="N33" s="10">
        <f>SUM(I33:M33)</f>
        <v>694880.0338725545</v>
      </c>
    </row>
    <row r="34" spans="1:14" ht="12.75">
      <c r="A34" s="21">
        <f>Assumptions!$H34</f>
        <v>2047</v>
      </c>
      <c r="B34" s="10">
        <f>IF(A34=Assumptions!$D$12,Assumptions!$D$14*(1-Assumptions!$B$3),G33)</f>
        <v>-6.551323516760021E-10</v>
      </c>
      <c r="C34" s="10">
        <f>'Project 4'!J34</f>
        <v>0</v>
      </c>
      <c r="D34" s="10">
        <f>IF(B34&lt;1,0,IF(A34=Assumptions!$D$12,Assumptions!$D$18*Assumptions!$D$22,IF(Assumptions!$E$19="Y",IF(A34&gt;Assumptions!$E$12,Assumptions!$D$24,Assumptions!$D$22),Assumptions!$D$22)))</f>
        <v>0</v>
      </c>
      <c r="E34" s="10">
        <f>D34-F34</f>
        <v>1.9653970550280063E-11</v>
      </c>
      <c r="F34" s="10">
        <f>IF(B34=0,0,IF(D34&lt;Assumptions!$D$22,Assumptions!$D$18*Assumptions!$D$15*B34,B34*Assumptions!$D$15))</f>
        <v>-1.9653970550280063E-11</v>
      </c>
      <c r="G34" s="10">
        <f>B34+C34-E34</f>
        <v>-6.747863222262822E-10</v>
      </c>
      <c r="I34" s="10">
        <f>IF(A34=Assumptions!$D$12,-Assumptions!$D$14*Assumptions!$B$3,0)</f>
        <v>0</v>
      </c>
      <c r="J34" s="10">
        <f>IF(Assumptions!$D$19="Y",-I34,0)</f>
        <v>0</v>
      </c>
      <c r="K34" s="10">
        <f>IF($A34-Assumptions!$D$13&lt;0,0,(Assumptions!$D$17*12*Assumptions!$D$16*Assumptions!$B$8)*(1+Assumptions!$B$9)^($A34-Assumptions!$D$13))</f>
        <v>1216040.0592769703</v>
      </c>
      <c r="L34" s="10">
        <f>IF(K34=0,0,-K34*Assumptions!$B$7)</f>
        <v>-486416.02371078817</v>
      </c>
      <c r="M34" s="10">
        <f>-E34-F34</f>
        <v>0</v>
      </c>
      <c r="N34" s="10">
        <f>SUM(I34:M34)</f>
        <v>729624.0355661821</v>
      </c>
    </row>
    <row r="35" spans="1:14" ht="12.75">
      <c r="A35" s="21">
        <f>Assumptions!$H35</f>
        <v>2048</v>
      </c>
      <c r="B35" s="10">
        <f>IF(A35=Assumptions!$D$12,Assumptions!$D$14*(1-Assumptions!$B$3),G34)</f>
        <v>-6.747863222262822E-10</v>
      </c>
      <c r="C35" s="10">
        <f>'Project 4'!J35</f>
        <v>0</v>
      </c>
      <c r="D35" s="10">
        <f>IF(B35&lt;1,0,IF(A35=Assumptions!$D$12,Assumptions!$D$18*Assumptions!$D$22,IF(Assumptions!$E$19="Y",IF(A35&gt;Assumptions!$E$12,Assumptions!$D$24,Assumptions!$D$22),Assumptions!$D$22)))</f>
        <v>0</v>
      </c>
      <c r="E35" s="10">
        <f>D35-F35</f>
        <v>2.0243589666788466E-11</v>
      </c>
      <c r="F35" s="10">
        <f>IF(B35=0,0,IF(D35&lt;Assumptions!$D$22,Assumptions!$D$18*Assumptions!$D$15*B35,B35*Assumptions!$D$15))</f>
        <v>-2.0243589666788466E-11</v>
      </c>
      <c r="G35" s="10">
        <f>B35+C35-E35</f>
        <v>-6.950299118930707E-10</v>
      </c>
      <c r="I35" s="10">
        <f>IF(A35=Assumptions!$D$12,-Assumptions!$D$14*Assumptions!$B$3,0)</f>
        <v>0</v>
      </c>
      <c r="J35" s="10">
        <f>IF(Assumptions!$D$19="Y",-I35,0)</f>
        <v>0</v>
      </c>
      <c r="K35" s="10">
        <f>IF($A35-Assumptions!$D$13&lt;0,0,(Assumptions!$D$17*12*Assumptions!$D$16*Assumptions!$B$8)*(1+Assumptions!$B$9)^($A35-Assumptions!$D$13))</f>
        <v>1276842.062240819</v>
      </c>
      <c r="L35" s="10">
        <f>IF(K35=0,0,-K35*Assumptions!$B$7)</f>
        <v>-510736.8248963276</v>
      </c>
      <c r="M35" s="10">
        <f>-E35-F35</f>
        <v>0</v>
      </c>
      <c r="N35" s="10">
        <f>SUM(I35:M35)</f>
        <v>766105.2373444913</v>
      </c>
    </row>
    <row r="36" spans="1:14" ht="12.75">
      <c r="A36" s="21">
        <f>Assumptions!$H36</f>
        <v>2049</v>
      </c>
      <c r="B36" s="10">
        <f>IF(A36=Assumptions!$D$12,Assumptions!$D$14*(1-Assumptions!$B$3),G35)</f>
        <v>-6.950299118930707E-10</v>
      </c>
      <c r="C36" s="10">
        <f>'Project 4'!J36</f>
        <v>0</v>
      </c>
      <c r="D36" s="10">
        <f>IF(B36&lt;1,0,IF(A36=Assumptions!$D$12,Assumptions!$D$18*Assumptions!$D$22,IF(Assumptions!$E$19="Y",IF(A36&gt;Assumptions!$E$12,Assumptions!$D$24,Assumptions!$D$22),Assumptions!$D$22)))</f>
        <v>0</v>
      </c>
      <c r="E36" s="10">
        <f>D36-F36</f>
        <v>2.085089735679212E-11</v>
      </c>
      <c r="F36" s="10">
        <f>IF(B36=0,0,IF(D36&lt;Assumptions!$D$22,Assumptions!$D$18*Assumptions!$D$15*B36,B36*Assumptions!$D$15))</f>
        <v>-2.085089735679212E-11</v>
      </c>
      <c r="G36" s="10">
        <f>B36+C36-E36</f>
        <v>-7.158808092498628E-10</v>
      </c>
      <c r="I36" s="10">
        <f>IF(A36=Assumptions!$D$12,-Assumptions!$D$14*Assumptions!$B$3,0)</f>
        <v>0</v>
      </c>
      <c r="J36" s="10">
        <f>IF(Assumptions!$D$19="Y",-I36,0)</f>
        <v>0</v>
      </c>
      <c r="K36" s="10">
        <f>IF($A36-Assumptions!$D$13&lt;0,0,(Assumptions!$D$17*12*Assumptions!$D$16*Assumptions!$B$8)*(1+Assumptions!$B$9)^($A36-Assumptions!$D$13))</f>
        <v>1340684.16535286</v>
      </c>
      <c r="L36" s="10">
        <f>IF(K36=0,0,-K36*Assumptions!$B$7)</f>
        <v>-536273.666141144</v>
      </c>
      <c r="M36" s="10">
        <f>-E36-F36</f>
        <v>0</v>
      </c>
      <c r="N36" s="10">
        <f>SUM(I36:M36)</f>
        <v>804410.499211716</v>
      </c>
    </row>
    <row r="37" spans="1:14" ht="12.75">
      <c r="A37" s="21">
        <f>Assumptions!$H37</f>
        <v>2050</v>
      </c>
      <c r="B37" s="10">
        <f>IF(A37=Assumptions!$D$12,Assumptions!$D$14*(1-Assumptions!$B$3),G36)</f>
        <v>-7.158808092498628E-10</v>
      </c>
      <c r="C37" s="10">
        <f>'Project 4'!J37</f>
        <v>0</v>
      </c>
      <c r="D37" s="10">
        <f>IF(B37&lt;1,0,IF(A37=Assumptions!$D$12,Assumptions!$D$18*Assumptions!$D$22,IF(Assumptions!$E$19="Y",IF(A37&gt;Assumptions!$E$12,Assumptions!$D$24,Assumptions!$D$22),Assumptions!$D$22)))</f>
        <v>0</v>
      </c>
      <c r="E37" s="10">
        <f>D37-F37</f>
        <v>2.1476424277495883E-11</v>
      </c>
      <c r="F37" s="10">
        <f>IF(B37=0,0,IF(D37&lt;Assumptions!$D$22,Assumptions!$D$18*Assumptions!$D$15*B37,B37*Assumptions!$D$15))</f>
        <v>-2.1476424277495883E-11</v>
      </c>
      <c r="G37" s="10">
        <f>B37+C37-E37</f>
        <v>-7.373572335273587E-10</v>
      </c>
      <c r="I37" s="10">
        <f>IF(A37=Assumptions!$D$12,-Assumptions!$D$14*Assumptions!$B$3,0)</f>
        <v>0</v>
      </c>
      <c r="J37" s="10">
        <f>IF(Assumptions!$D$19="Y",-I37,0)</f>
        <v>0</v>
      </c>
      <c r="K37" s="10">
        <f>IF($A37-Assumptions!$D$13&lt;0,0,(Assumptions!$D$17*12*Assumptions!$D$16*Assumptions!$B$8)*(1+Assumptions!$B$9)^($A37-Assumptions!$D$13))</f>
        <v>1407718.373620503</v>
      </c>
      <c r="L37" s="10">
        <f>IF(K37=0,0,-K37*Assumptions!$B$7)</f>
        <v>-563087.3494482012</v>
      </c>
      <c r="M37" s="10">
        <f>-E37-F37</f>
        <v>0</v>
      </c>
      <c r="N37" s="10">
        <f>SUM(I37:M37)</f>
        <v>844631.0241723019</v>
      </c>
    </row>
    <row r="38" spans="1:10" ht="12.75">
      <c r="A38" s="22" t="s">
        <v>40</v>
      </c>
      <c r="B38" s="23"/>
      <c r="C38" s="23"/>
      <c r="D38" s="23"/>
      <c r="E38" s="23">
        <f>SUM(E3:E37)</f>
        <v>1300000</v>
      </c>
      <c r="F38" s="23">
        <f>SUM(F3:F37)</f>
        <v>1060482.696824355</v>
      </c>
      <c r="G38" s="23"/>
      <c r="H38" s="23"/>
      <c r="I38" s="23"/>
      <c r="J38" s="23"/>
    </row>
  </sheetData>
  <sheetProtection selectLockedCells="1" selectUnlockedCells="1"/>
  <mergeCells count="2">
    <mergeCell ref="B1:G1"/>
    <mergeCell ref="I1:N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showZeros="0" workbookViewId="0" topLeftCell="A1">
      <pane ySplit="2" topLeftCell="A3" activePane="bottomLeft" state="frozen"/>
      <selection pane="topLeft" activeCell="A1" sqref="A1"/>
      <selection pane="bottomLeft" activeCell="D3" sqref="D3"/>
    </sheetView>
  </sheetViews>
  <sheetFormatPr defaultColWidth="12.57421875" defaultRowHeight="12.75"/>
  <cols>
    <col min="1" max="1" width="7.7109375" style="16" customWidth="1"/>
    <col min="2" max="7" width="9.8515625" style="10" customWidth="1"/>
    <col min="8" max="8" width="0.71875" style="10" customWidth="1"/>
    <col min="9" max="11" width="10.00390625" style="10" customWidth="1"/>
    <col min="12" max="12" width="11.421875" style="10" customWidth="1"/>
    <col min="13" max="14" width="10.00390625" style="10" customWidth="1"/>
    <col min="15" max="16384" width="11.57421875" style="10" customWidth="1"/>
  </cols>
  <sheetData>
    <row r="1" spans="2:14" ht="12.75">
      <c r="B1" s="17" t="s">
        <v>29</v>
      </c>
      <c r="C1" s="17"/>
      <c r="D1" s="17"/>
      <c r="E1" s="17"/>
      <c r="F1" s="17"/>
      <c r="G1" s="17"/>
      <c r="I1" s="17" t="s">
        <v>30</v>
      </c>
      <c r="J1" s="17"/>
      <c r="K1" s="17"/>
      <c r="L1" s="17"/>
      <c r="M1" s="17"/>
      <c r="N1" s="17"/>
    </row>
    <row r="2" spans="1:14" ht="12.75">
      <c r="A2" s="18" t="s">
        <v>4</v>
      </c>
      <c r="B2" s="19" t="s">
        <v>31</v>
      </c>
      <c r="C2" s="20" t="s">
        <v>32</v>
      </c>
      <c r="D2" s="20" t="s">
        <v>33</v>
      </c>
      <c r="E2" s="19" t="s">
        <v>34</v>
      </c>
      <c r="F2" s="19" t="s">
        <v>35</v>
      </c>
      <c r="G2" s="19" t="s">
        <v>36</v>
      </c>
      <c r="H2" s="19"/>
      <c r="I2" s="20" t="s">
        <v>6</v>
      </c>
      <c r="J2" s="20" t="s">
        <v>41</v>
      </c>
      <c r="K2" s="19" t="s">
        <v>37</v>
      </c>
      <c r="L2" s="19" t="s">
        <v>38</v>
      </c>
      <c r="M2" s="20" t="s">
        <v>39</v>
      </c>
      <c r="N2" s="20" t="s">
        <v>30</v>
      </c>
    </row>
    <row r="3" spans="1:14" ht="12.75">
      <c r="A3" s="21">
        <f>Assumptions!$H3</f>
        <v>2016</v>
      </c>
      <c r="B3" s="10">
        <f>IF(A3=Assumptions!$E$12,Assumptions!$E$14*(1-Assumptions!$B$3),0)</f>
        <v>0</v>
      </c>
      <c r="C3" s="10">
        <f>'Project 5'!I3</f>
        <v>0</v>
      </c>
      <c r="D3" s="10">
        <f>IF(B3&lt;1,0,IF(A3=Assumptions!$E$12,Assumptions!$E$18*Assumptions!$E$22,IF(Assumptions!$F$19="Y",IF(A3&gt;Assumptions!$F$12,Assumptions!$E$24,Assumptions!$E$22),Assumptions!$E$22)))</f>
        <v>0</v>
      </c>
      <c r="E3" s="10">
        <f>D3-F3</f>
        <v>0</v>
      </c>
      <c r="F3" s="10">
        <f>IF(B3=0,0,IF(D3&lt;Assumptions!$E$22,Assumptions!$E$18*Assumptions!$E$15*B3,B3*Assumptions!$E$15))</f>
        <v>0</v>
      </c>
      <c r="G3" s="10">
        <f>B3+C3-E3</f>
        <v>0</v>
      </c>
      <c r="I3" s="10">
        <f>IF(A3=Assumptions!$E$12,-Assumptions!$E$14*Assumptions!$B$3,0)</f>
        <v>0</v>
      </c>
      <c r="J3" s="10">
        <f>IF(Assumptions!$E$19="Y",-I3,0)</f>
        <v>0</v>
      </c>
      <c r="K3" s="10">
        <f>IF($A3-Assumptions!$E$13&lt;0,0,(Assumptions!$E$17*12*Assumptions!$E$16*Assumptions!$B$8)*(1+Assumptions!$B$9)^($A3-Assumptions!$E$13))</f>
        <v>0</v>
      </c>
      <c r="L3" s="10">
        <f>IF(K3=0,0,-K3*Assumptions!$B$7)</f>
        <v>0</v>
      </c>
      <c r="M3" s="10">
        <f>-E3-F3</f>
        <v>0</v>
      </c>
      <c r="N3" s="10">
        <f>SUM(I3:M3)</f>
        <v>0</v>
      </c>
    </row>
    <row r="4" spans="1:14" ht="12.75">
      <c r="A4" s="21">
        <f>Assumptions!$H4</f>
        <v>2017</v>
      </c>
      <c r="B4" s="10">
        <f>IF(A4=Assumptions!$E$12,Assumptions!$E$14*(1-Assumptions!$B$3),G3)</f>
        <v>0</v>
      </c>
      <c r="C4" s="10">
        <f>'Project 5'!I4</f>
        <v>0</v>
      </c>
      <c r="D4" s="10">
        <f>IF(B4&lt;1,0,IF(A4=Assumptions!$E$12,Assumptions!$E$18*Assumptions!$E$22,IF(Assumptions!$F$19="Y",IF(A4&gt;Assumptions!$F$12,Assumptions!$E$24,Assumptions!$E$22),Assumptions!$E$22)))</f>
        <v>0</v>
      </c>
      <c r="E4" s="10">
        <f>D4-F4</f>
        <v>0</v>
      </c>
      <c r="F4" s="10">
        <f>IF(B4=0,0,IF(D4&lt;Assumptions!$E$22,Assumptions!$E$18*Assumptions!$E$15*B4,B4*Assumptions!$E$15))</f>
        <v>0</v>
      </c>
      <c r="G4" s="10">
        <f>B4+C4-E4</f>
        <v>0</v>
      </c>
      <c r="I4" s="10">
        <f>IF(A4=Assumptions!$E$12,-Assumptions!$E$14*Assumptions!$B$3,0)</f>
        <v>0</v>
      </c>
      <c r="J4" s="10">
        <f>IF(Assumptions!$E$19="Y",-I4,0)</f>
        <v>0</v>
      </c>
      <c r="K4" s="10">
        <f>IF($A4-Assumptions!$E$13&lt;0,0,(Assumptions!$E$17*12*Assumptions!$E$16*Assumptions!$B$8)*(1+Assumptions!$B$9)^($A4-Assumptions!$E$13))</f>
        <v>0</v>
      </c>
      <c r="L4" s="10">
        <f>IF(K4=0,0,-K4*Assumptions!$B$7)</f>
        <v>0</v>
      </c>
      <c r="M4" s="10">
        <f>-E4-F4</f>
        <v>0</v>
      </c>
      <c r="N4" s="10">
        <f>SUM(I4:M4)</f>
        <v>0</v>
      </c>
    </row>
    <row r="5" spans="1:14" ht="12.75">
      <c r="A5" s="21">
        <f>Assumptions!$H5</f>
        <v>2018</v>
      </c>
      <c r="B5" s="10">
        <f>IF(A5=Assumptions!$E$12,Assumptions!$E$14*(1-Assumptions!$B$3),G4)</f>
        <v>0</v>
      </c>
      <c r="C5" s="10">
        <f>'Project 5'!I5</f>
        <v>0</v>
      </c>
      <c r="D5" s="10">
        <f>IF(B5&lt;1,0,IF(A5=Assumptions!$E$12,Assumptions!$E$18*Assumptions!$E$22,IF(Assumptions!$F$19="Y",IF(A5&gt;Assumptions!$F$12,Assumptions!$E$24,Assumptions!$E$22),Assumptions!$E$22)))</f>
        <v>0</v>
      </c>
      <c r="E5" s="10">
        <f>D5-F5</f>
        <v>0</v>
      </c>
      <c r="F5" s="10">
        <f>IF(B5=0,0,IF(D5&lt;Assumptions!$E$22,Assumptions!$E$18*Assumptions!$E$15*B5,B5*Assumptions!$E$15))</f>
        <v>0</v>
      </c>
      <c r="G5" s="10">
        <f>B5+C5-E5</f>
        <v>0</v>
      </c>
      <c r="I5" s="10">
        <f>IF(A5=Assumptions!$E$12,-Assumptions!$E$14*Assumptions!$B$3,0)</f>
        <v>0</v>
      </c>
      <c r="J5" s="10">
        <f>IF(Assumptions!$E$19="Y",-I5,0)</f>
        <v>0</v>
      </c>
      <c r="K5" s="10">
        <f>IF($A5-Assumptions!$E$13&lt;0,0,(Assumptions!$E$17*12*Assumptions!$E$16*Assumptions!$B$8)*(1+Assumptions!$B$9)^($A5-Assumptions!$E$13))</f>
        <v>0</v>
      </c>
      <c r="L5" s="10">
        <f>IF(K5=0,0,-K5*Assumptions!$B$7)</f>
        <v>0</v>
      </c>
      <c r="M5" s="10">
        <f>-E5-F5</f>
        <v>0</v>
      </c>
      <c r="N5" s="10">
        <f>SUM(I5:M5)</f>
        <v>0</v>
      </c>
    </row>
    <row r="6" spans="1:14" ht="12.75">
      <c r="A6" s="21">
        <f>Assumptions!$H6</f>
        <v>2019</v>
      </c>
      <c r="B6" s="10">
        <f>IF(A6=Assumptions!$E$12,Assumptions!$E$14*(1-Assumptions!$B$3),G5)</f>
        <v>0</v>
      </c>
      <c r="C6" s="10">
        <f>'Project 5'!I6</f>
        <v>0</v>
      </c>
      <c r="D6" s="10">
        <f>IF(B6&lt;1,0,IF(A6=Assumptions!$E$12,Assumptions!$E$18*Assumptions!$E$22,IF(Assumptions!$F$19="Y",IF(A6&gt;Assumptions!$F$12,Assumptions!$E$24,Assumptions!$E$22),Assumptions!$E$22)))</f>
        <v>0</v>
      </c>
      <c r="E6" s="10">
        <f>D6-F6</f>
        <v>0</v>
      </c>
      <c r="F6" s="10">
        <f>IF(B6=0,0,IF(D6&lt;Assumptions!$E$22,Assumptions!$E$18*Assumptions!$E$15*B6,B6*Assumptions!$E$15))</f>
        <v>0</v>
      </c>
      <c r="G6" s="10">
        <f>B6+C6-E6</f>
        <v>0</v>
      </c>
      <c r="I6" s="10">
        <f>IF(A6=Assumptions!$E$12,-Assumptions!$E$14*Assumptions!$B$3,0)</f>
        <v>0</v>
      </c>
      <c r="J6" s="10">
        <f>IF(Assumptions!$E$19="Y",-I6,0)</f>
        <v>0</v>
      </c>
      <c r="K6" s="10">
        <f>IF($A6-Assumptions!$E$13&lt;0,0,(Assumptions!$E$17*12*Assumptions!$E$16*Assumptions!$B$8)*(1+Assumptions!$B$9)^($A6-Assumptions!$E$13))</f>
        <v>0</v>
      </c>
      <c r="L6" s="10">
        <f>IF(K6=0,0,-K6*Assumptions!$B$7)</f>
        <v>0</v>
      </c>
      <c r="M6" s="10">
        <f>-E6-F6</f>
        <v>0</v>
      </c>
      <c r="N6" s="10">
        <f>SUM(I6:M6)</f>
        <v>0</v>
      </c>
    </row>
    <row r="7" spans="1:14" ht="12.75">
      <c r="A7" s="21">
        <f>Assumptions!$H7</f>
        <v>2020</v>
      </c>
      <c r="B7" s="10">
        <f>IF(A7=Assumptions!$E$12,Assumptions!$E$14*(1-Assumptions!$B$3),G6)</f>
        <v>0</v>
      </c>
      <c r="C7" s="10">
        <f>'Project 5'!I7</f>
        <v>0</v>
      </c>
      <c r="D7" s="10">
        <f>IF(B7&lt;1,0,IF(A7=Assumptions!$E$12,Assumptions!$E$18*Assumptions!$E$22,IF(Assumptions!$F$19="Y",IF(A7&gt;Assumptions!$F$12,Assumptions!$E$24,Assumptions!$E$22),Assumptions!$E$22)))</f>
        <v>0</v>
      </c>
      <c r="E7" s="10">
        <f>D7-F7</f>
        <v>0</v>
      </c>
      <c r="F7" s="10">
        <f>IF(B7=0,0,IF(D7&lt;Assumptions!$E$22,Assumptions!$E$18*Assumptions!$E$15*B7,B7*Assumptions!$E$15))</f>
        <v>0</v>
      </c>
      <c r="G7" s="10">
        <f>B7+C7-E7</f>
        <v>0</v>
      </c>
      <c r="I7" s="10">
        <f>IF(A7=Assumptions!$E$12,-Assumptions!$E$14*Assumptions!$B$3,0)</f>
        <v>0</v>
      </c>
      <c r="J7" s="10">
        <f>IF(Assumptions!$E$19="Y",-I7,0)</f>
        <v>0</v>
      </c>
      <c r="K7" s="10">
        <f>IF($A7-Assumptions!$E$13&lt;0,0,(Assumptions!$E$17*12*Assumptions!$E$16*Assumptions!$B$8)*(1+Assumptions!$B$9)^($A7-Assumptions!$E$13))</f>
        <v>0</v>
      </c>
      <c r="L7" s="10">
        <f>IF(K7=0,0,-K7*Assumptions!$B$7)</f>
        <v>0</v>
      </c>
      <c r="M7" s="10">
        <f>-E7-F7</f>
        <v>0</v>
      </c>
      <c r="N7" s="10">
        <f>SUM(I7:M7)</f>
        <v>0</v>
      </c>
    </row>
    <row r="8" spans="1:14" ht="12.75">
      <c r="A8" s="21">
        <f>Assumptions!$H8</f>
        <v>2021</v>
      </c>
      <c r="B8" s="10">
        <f>IF(A8=Assumptions!$E$12,Assumptions!$E$14*(1-Assumptions!$B$3),G7)</f>
        <v>0</v>
      </c>
      <c r="C8" s="10">
        <f>'Project 5'!I8</f>
        <v>0</v>
      </c>
      <c r="D8" s="10">
        <f>IF(B8&lt;1,0,IF(A8=Assumptions!$E$12,Assumptions!$E$18*Assumptions!$E$22,IF(Assumptions!$F$19="Y",IF(A8&gt;Assumptions!$F$12,Assumptions!$E$24,Assumptions!$E$22),Assumptions!$E$22)))</f>
        <v>0</v>
      </c>
      <c r="E8" s="10">
        <f>D8-F8</f>
        <v>0</v>
      </c>
      <c r="F8" s="10">
        <f>IF(B8=0,0,IF(D8&lt;Assumptions!$E$22,Assumptions!$E$18*Assumptions!$E$15*B8,B8*Assumptions!$E$15))</f>
        <v>0</v>
      </c>
      <c r="G8" s="10">
        <f>B8+C8-E8</f>
        <v>0</v>
      </c>
      <c r="I8" s="10">
        <f>IF(A8=Assumptions!$E$12,-Assumptions!$E$14*Assumptions!$B$3,0)</f>
        <v>0</v>
      </c>
      <c r="J8" s="10">
        <f>IF(Assumptions!$E$19="Y",-I8,0)</f>
        <v>0</v>
      </c>
      <c r="K8" s="10">
        <f>IF($A8-Assumptions!$E$13&lt;0,0,(Assumptions!$E$17*12*Assumptions!$E$16*Assumptions!$B$8)*(1+Assumptions!$B$9)^($A8-Assumptions!$E$13))</f>
        <v>0</v>
      </c>
      <c r="L8" s="10">
        <f>IF(K8=0,0,-K8*Assumptions!$B$7)</f>
        <v>0</v>
      </c>
      <c r="M8" s="10">
        <f>-E8-F8</f>
        <v>0</v>
      </c>
      <c r="N8" s="10">
        <f>SUM(I8:M8)</f>
        <v>0</v>
      </c>
    </row>
    <row r="9" spans="1:14" ht="12.75">
      <c r="A9" s="21">
        <f>Assumptions!$H9</f>
        <v>2022</v>
      </c>
      <c r="B9" s="10">
        <f>IF(A9=Assumptions!$E$12,Assumptions!$E$14*(1-Assumptions!$B$3),G8)</f>
        <v>1200000</v>
      </c>
      <c r="C9" s="10">
        <f>'Project 5'!I9</f>
        <v>0</v>
      </c>
      <c r="D9" s="10">
        <f>IF(B9&lt;1,0,IF(A9=Assumptions!$E$12,Assumptions!$E$18*Assumptions!$E$22,IF(Assumptions!$F$19="Y",IF(A9&gt;Assumptions!$F$12,Assumptions!$E$24,Assumptions!$E$22),Assumptions!$E$22)))</f>
        <v>55540.0173446739</v>
      </c>
      <c r="E9" s="10">
        <f>D9-F9</f>
        <v>15040.017344673899</v>
      </c>
      <c r="F9" s="10">
        <f>IF(B9=0,0,IF(D9&lt;Assumptions!$E$22,Assumptions!$E$18*Assumptions!$E$15*B9,B9*Assumptions!$E$15))</f>
        <v>40500</v>
      </c>
      <c r="G9" s="10">
        <f>B9+C9-E9</f>
        <v>1184959.9826553261</v>
      </c>
      <c r="I9" s="10">
        <f>IF(A9=Assumptions!$E$12,-Assumptions!$E$14*Assumptions!$B$3,0)</f>
        <v>-300000</v>
      </c>
      <c r="J9" s="10">
        <f>IF(Assumptions!$E$19="Y",-I9,0)</f>
        <v>300000</v>
      </c>
      <c r="K9" s="10">
        <f>IF($A9-Assumptions!$E$13&lt;0,0,(Assumptions!$E$17*12*Assumptions!$E$16*Assumptions!$B$8)*(1+Assumptions!$B$9)^($A9-Assumptions!$E$13))</f>
        <v>0</v>
      </c>
      <c r="L9" s="10">
        <f>IF(K9=0,0,-K9*Assumptions!$B$7)</f>
        <v>0</v>
      </c>
      <c r="M9" s="10">
        <f>-E9-F9</f>
        <v>-55540.0173446739</v>
      </c>
      <c r="N9" s="10">
        <f>SUM(I9:M9)</f>
        <v>-55540.01734467389</v>
      </c>
    </row>
    <row r="10" spans="1:14" ht="12.75">
      <c r="A10" s="21">
        <f>Assumptions!$H10</f>
        <v>2023</v>
      </c>
      <c r="B10" s="10">
        <f>IF(A10=Assumptions!$E$12,Assumptions!$E$14*(1-Assumptions!$B$3),G9)</f>
        <v>1184959.9826553261</v>
      </c>
      <c r="C10" s="10">
        <f>'Project 5'!I10</f>
        <v>0</v>
      </c>
      <c r="D10" s="10">
        <f>IF(B10&lt;1,0,IF(A10=Assumptions!$E$12,Assumptions!$E$18*Assumptions!$E$22,IF(Assumptions!$F$19="Y",IF(A10&gt;Assumptions!$F$12,Assumptions!$E$24,Assumptions!$E$22),Assumptions!$E$22)))</f>
        <v>111080.0346893478</v>
      </c>
      <c r="E10" s="10">
        <f>D10-F10</f>
        <v>31095.235860113273</v>
      </c>
      <c r="F10" s="10">
        <f>IF(B10=0,0,IF(D10&lt;Assumptions!$E$22,Assumptions!$E$18*Assumptions!$E$15*B10,B10*Assumptions!$E$15))</f>
        <v>79984.79882923453</v>
      </c>
      <c r="G10" s="10">
        <f>B10+C10-E10</f>
        <v>1153864.7467952128</v>
      </c>
      <c r="I10" s="10">
        <f>IF(A10=Assumptions!$E$12,-Assumptions!$E$14*Assumptions!$B$3,0)</f>
        <v>0</v>
      </c>
      <c r="J10" s="10">
        <f>IF(Assumptions!$E$19="Y",-I10,0)</f>
        <v>0</v>
      </c>
      <c r="K10" s="10">
        <f>IF($A10-Assumptions!$E$13&lt;0,0,(Assumptions!$E$17*12*Assumptions!$E$16*Assumptions!$B$8)*(1+Assumptions!$B$9)^($A10-Assumptions!$E$13))</f>
        <v>820800</v>
      </c>
      <c r="L10" s="10">
        <f>IF(K10=0,0,-K10*Assumptions!$B$7)</f>
        <v>-328320</v>
      </c>
      <c r="M10" s="10">
        <f>-E10-F10</f>
        <v>-111080.0346893478</v>
      </c>
      <c r="N10" s="10">
        <f>SUM(I10:M10)</f>
        <v>381399.9653106522</v>
      </c>
    </row>
    <row r="11" spans="1:14" ht="12.75">
      <c r="A11" s="21">
        <f>Assumptions!$H11</f>
        <v>2024</v>
      </c>
      <c r="B11" s="10">
        <f>IF(A11=Assumptions!$E$12,Assumptions!$E$14*(1-Assumptions!$B$3),G10)</f>
        <v>1153864.7467952128</v>
      </c>
      <c r="C11" s="10">
        <f>'Project 5'!I11</f>
        <v>400000</v>
      </c>
      <c r="D11" s="10">
        <f>IF(B11&lt;1,0,IF(A11=Assumptions!$E$12,Assumptions!$E$18*Assumptions!$E$22,IF(Assumptions!$F$19="Y",IF(A11&gt;Assumptions!$F$12,Assumptions!$E$24,Assumptions!$E$22),Assumptions!$E$22)))</f>
        <v>111080.0346893478</v>
      </c>
      <c r="E11" s="10">
        <f>D11-F11</f>
        <v>33194.16428067093</v>
      </c>
      <c r="F11" s="10">
        <f>IF(B11=0,0,IF(D11&lt;Assumptions!$E$22,Assumptions!$E$18*Assumptions!$E$15*B11,B11*Assumptions!$E$15))</f>
        <v>77885.87040867687</v>
      </c>
      <c r="G11" s="10">
        <f>B11+C11-E11</f>
        <v>1520670.582514542</v>
      </c>
      <c r="I11" s="10">
        <f>IF(A11=Assumptions!$E$12,-Assumptions!$E$14*Assumptions!$B$3,0)</f>
        <v>0</v>
      </c>
      <c r="J11" s="10">
        <f>IF(Assumptions!$E$19="Y",-I11,0)</f>
        <v>0</v>
      </c>
      <c r="K11" s="10">
        <f>IF($A11-Assumptions!$E$13&lt;0,0,(Assumptions!$E$17*12*Assumptions!$E$16*Assumptions!$B$8)*(1+Assumptions!$B$9)^($A11-Assumptions!$E$13))</f>
        <v>861840</v>
      </c>
      <c r="L11" s="10">
        <f>IF(K11=0,0,-K11*Assumptions!$B$7)</f>
        <v>-344736</v>
      </c>
      <c r="M11" s="10">
        <f>-E11-F11</f>
        <v>-111080.0346893478</v>
      </c>
      <c r="N11" s="10">
        <f>SUM(I11:M11)</f>
        <v>406023.9653106522</v>
      </c>
    </row>
    <row r="12" spans="1:14" ht="12.75">
      <c r="A12" s="21">
        <f>Assumptions!$H12</f>
        <v>2025</v>
      </c>
      <c r="B12" s="10">
        <f>IF(A12=Assumptions!$E$12,Assumptions!$E$14*(1-Assumptions!$B$3),G11)</f>
        <v>1520670.582514542</v>
      </c>
      <c r="C12" s="10">
        <f>'Project 5'!I12</f>
        <v>0</v>
      </c>
      <c r="D12" s="10">
        <f>IF(B12&lt;1,0,IF(A12=Assumptions!$E$12,Assumptions!$E$18*Assumptions!$E$22,IF(Assumptions!$F$19="Y",IF(A12&gt;Assumptions!$F$12,Assumptions!$E$24,Assumptions!$E$22),Assumptions!$E$22)))</f>
        <v>140763.45088065503</v>
      </c>
      <c r="E12" s="10">
        <f>D12-F12</f>
        <v>38118.18656092344</v>
      </c>
      <c r="F12" s="10">
        <f>IF(B12=0,0,IF(D12&lt;Assumptions!$E$22,Assumptions!$E$18*Assumptions!$E$15*B12,B12*Assumptions!$E$15))</f>
        <v>102645.26431973159</v>
      </c>
      <c r="G12" s="10">
        <f>B12+C12-E12</f>
        <v>1482552.3959536185</v>
      </c>
      <c r="I12" s="10">
        <f>IF(A12=Assumptions!$E$12,-Assumptions!$E$14*Assumptions!$B$3,0)</f>
        <v>0</v>
      </c>
      <c r="J12" s="10">
        <f>IF(Assumptions!$E$19="Y",-I12,0)</f>
        <v>0</v>
      </c>
      <c r="K12" s="10">
        <f>IF($A12-Assumptions!$E$13&lt;0,0,(Assumptions!$E$17*12*Assumptions!$E$16*Assumptions!$B$8)*(1+Assumptions!$B$9)^($A12-Assumptions!$E$13))</f>
        <v>904932</v>
      </c>
      <c r="L12" s="10">
        <f>IF(K12=0,0,-K12*Assumptions!$B$7)</f>
        <v>-361972.80000000005</v>
      </c>
      <c r="M12" s="10">
        <f>-E12-F12</f>
        <v>-140763.45088065503</v>
      </c>
      <c r="N12" s="10">
        <f>SUM(I12:M12)</f>
        <v>402195.7491193449</v>
      </c>
    </row>
    <row r="13" spans="1:14" ht="12.75">
      <c r="A13" s="21">
        <f>Assumptions!$H13</f>
        <v>2026</v>
      </c>
      <c r="B13" s="10">
        <f>IF(A13=Assumptions!$E$12,Assumptions!$E$14*(1-Assumptions!$B$3),G12)</f>
        <v>1482552.3959536185</v>
      </c>
      <c r="C13" s="10">
        <f>'Project 5'!I13</f>
        <v>0</v>
      </c>
      <c r="D13" s="10">
        <f>IF(B13&lt;1,0,IF(A13=Assumptions!$E$12,Assumptions!$E$18*Assumptions!$E$22,IF(Assumptions!$F$19="Y",IF(A13&gt;Assumptions!$F$12,Assumptions!$E$24,Assumptions!$E$22),Assumptions!$E$22)))</f>
        <v>140763.45088065503</v>
      </c>
      <c r="E13" s="10">
        <f>D13-F13</f>
        <v>40691.16415378578</v>
      </c>
      <c r="F13" s="10">
        <f>IF(B13=0,0,IF(D13&lt;Assumptions!$E$22,Assumptions!$E$18*Assumptions!$E$15*B13,B13*Assumptions!$E$15))</f>
        <v>100072.28672686925</v>
      </c>
      <c r="G13" s="10">
        <f>B13+C13-E13</f>
        <v>1441861.2317998328</v>
      </c>
      <c r="I13" s="10">
        <f>IF(A13=Assumptions!$E$12,-Assumptions!$E$14*Assumptions!$B$3,0)</f>
        <v>0</v>
      </c>
      <c r="J13" s="10">
        <f>IF(Assumptions!$E$19="Y",-I13,0)</f>
        <v>0</v>
      </c>
      <c r="K13" s="10">
        <f>IF($A13-Assumptions!$E$13&lt;0,0,(Assumptions!$E$17*12*Assumptions!$E$16*Assumptions!$B$8)*(1+Assumptions!$B$9)^($A13-Assumptions!$E$13))</f>
        <v>950178.6000000001</v>
      </c>
      <c r="L13" s="10">
        <f>IF(K13=0,0,-K13*Assumptions!$B$7)</f>
        <v>-380071.44000000006</v>
      </c>
      <c r="M13" s="10">
        <f>-E13-F13</f>
        <v>-140763.45088065503</v>
      </c>
      <c r="N13" s="10">
        <f>SUM(I13:M13)</f>
        <v>429343.709119345</v>
      </c>
    </row>
    <row r="14" spans="1:14" ht="12.75">
      <c r="A14" s="21">
        <f>Assumptions!$H14</f>
        <v>2027</v>
      </c>
      <c r="B14" s="10">
        <f>IF(A14=Assumptions!$E$12,Assumptions!$E$14*(1-Assumptions!$B$3),G13)</f>
        <v>1441861.2317998328</v>
      </c>
      <c r="C14" s="10">
        <f>'Project 5'!I14</f>
        <v>0</v>
      </c>
      <c r="D14" s="10">
        <f>IF(B14&lt;1,0,IF(A14=Assumptions!$E$12,Assumptions!$E$18*Assumptions!$E$22,IF(Assumptions!$F$19="Y",IF(A14&gt;Assumptions!$F$12,Assumptions!$E$24,Assumptions!$E$22),Assumptions!$E$22)))</f>
        <v>140763.45088065503</v>
      </c>
      <c r="E14" s="10">
        <f>D14-F14</f>
        <v>43437.81773416631</v>
      </c>
      <c r="F14" s="10">
        <f>IF(B14=0,0,IF(D14&lt;Assumptions!$E$22,Assumptions!$E$18*Assumptions!$E$15*B14,B14*Assumptions!$E$15))</f>
        <v>97325.63314648872</v>
      </c>
      <c r="G14" s="10">
        <f>B14+C14-E14</f>
        <v>1398423.4140656665</v>
      </c>
      <c r="I14" s="10">
        <f>IF(A14=Assumptions!$E$12,-Assumptions!$E$14*Assumptions!$B$3,0)</f>
        <v>0</v>
      </c>
      <c r="J14" s="10">
        <f>IF(Assumptions!$E$19="Y",-I14,0)</f>
        <v>0</v>
      </c>
      <c r="K14" s="10">
        <f>IF($A14-Assumptions!$E$13&lt;0,0,(Assumptions!$E$17*12*Assumptions!$E$16*Assumptions!$B$8)*(1+Assumptions!$B$9)^($A14-Assumptions!$E$13))</f>
        <v>997687.5300000001</v>
      </c>
      <c r="L14" s="10">
        <f>IF(K14=0,0,-K14*Assumptions!$B$7)</f>
        <v>-399075.0120000001</v>
      </c>
      <c r="M14" s="10">
        <f>-E14-F14</f>
        <v>-140763.45088065503</v>
      </c>
      <c r="N14" s="10">
        <f>SUM(I14:M14)</f>
        <v>457849.06711934495</v>
      </c>
    </row>
    <row r="15" spans="1:14" ht="12.75">
      <c r="A15" s="21">
        <f>Assumptions!$H15</f>
        <v>2028</v>
      </c>
      <c r="B15" s="10">
        <f>IF(A15=Assumptions!$E$12,Assumptions!$E$14*(1-Assumptions!$B$3),G14)</f>
        <v>1398423.4140656665</v>
      </c>
      <c r="C15" s="10">
        <f>'Project 5'!I15</f>
        <v>0</v>
      </c>
      <c r="D15" s="10">
        <f>IF(B15&lt;1,0,IF(A15=Assumptions!$E$12,Assumptions!$E$18*Assumptions!$E$22,IF(Assumptions!$F$19="Y",IF(A15&gt;Assumptions!$F$12,Assumptions!$E$24,Assumptions!$E$22),Assumptions!$E$22)))</f>
        <v>140763.45088065503</v>
      </c>
      <c r="E15" s="10">
        <f>D15-F15</f>
        <v>46369.87043122253</v>
      </c>
      <c r="F15" s="10">
        <f>IF(B15=0,0,IF(D15&lt;Assumptions!$E$22,Assumptions!$E$18*Assumptions!$E$15*B15,B15*Assumptions!$E$15))</f>
        <v>94393.5804494325</v>
      </c>
      <c r="G15" s="10">
        <f>B15+C15-E15</f>
        <v>1352053.543634444</v>
      </c>
      <c r="I15" s="10">
        <f>IF(A15=Assumptions!$E$12,-Assumptions!$E$14*Assumptions!$B$3,0)</f>
        <v>0</v>
      </c>
      <c r="J15" s="10">
        <f>IF(Assumptions!$E$19="Y",-I15,0)</f>
        <v>0</v>
      </c>
      <c r="K15" s="10">
        <f>IF($A15-Assumptions!$E$13&lt;0,0,(Assumptions!$E$17*12*Assumptions!$E$16*Assumptions!$B$8)*(1+Assumptions!$B$9)^($A15-Assumptions!$E$13))</f>
        <v>1047571.9065000003</v>
      </c>
      <c r="L15" s="10">
        <f>IF(K15=0,0,-K15*Assumptions!$B$7)</f>
        <v>-419028.76260000013</v>
      </c>
      <c r="M15" s="10">
        <f>-E15-F15</f>
        <v>-140763.45088065503</v>
      </c>
      <c r="N15" s="10">
        <f>SUM(I15:M15)</f>
        <v>487779.69301934517</v>
      </c>
    </row>
    <row r="16" spans="1:14" ht="12.75">
      <c r="A16" s="21">
        <f>Assumptions!$H16</f>
        <v>2029</v>
      </c>
      <c r="B16" s="10">
        <f>IF(A16=Assumptions!$E$12,Assumptions!$E$14*(1-Assumptions!$B$3),G15)</f>
        <v>1352053.543634444</v>
      </c>
      <c r="C16" s="10">
        <f>'Project 5'!I16</f>
        <v>0</v>
      </c>
      <c r="D16" s="10">
        <f>IF(B16&lt;1,0,IF(A16=Assumptions!$E$12,Assumptions!$E$18*Assumptions!$E$22,IF(Assumptions!$F$19="Y",IF(A16&gt;Assumptions!$F$12,Assumptions!$E$24,Assumptions!$E$22),Assumptions!$E$22)))</f>
        <v>140763.45088065503</v>
      </c>
      <c r="E16" s="10">
        <f>D16-F16</f>
        <v>49499.836685330054</v>
      </c>
      <c r="F16" s="10">
        <f>IF(B16=0,0,IF(D16&lt;Assumptions!$E$22,Assumptions!$E$18*Assumptions!$E$15*B16,B16*Assumptions!$E$15))</f>
        <v>91263.61419532498</v>
      </c>
      <c r="G16" s="10">
        <f>B16+C16-E16</f>
        <v>1302553.7069491139</v>
      </c>
      <c r="I16" s="10">
        <f>IF(A16=Assumptions!$E$12,-Assumptions!$E$14*Assumptions!$B$3,0)</f>
        <v>0</v>
      </c>
      <c r="J16" s="10">
        <f>IF(Assumptions!$E$19="Y",-I16,0)</f>
        <v>0</v>
      </c>
      <c r="K16" s="10">
        <f>IF($A16-Assumptions!$E$13&lt;0,0,(Assumptions!$E$17*12*Assumptions!$E$16*Assumptions!$B$8)*(1+Assumptions!$B$9)^($A16-Assumptions!$E$13))</f>
        <v>1099950.5018250004</v>
      </c>
      <c r="L16" s="10">
        <f>IF(K16=0,0,-K16*Assumptions!$B$7)</f>
        <v>-439980.20073000016</v>
      </c>
      <c r="M16" s="10">
        <f>-E16-F16</f>
        <v>-140763.45088065503</v>
      </c>
      <c r="N16" s="10">
        <f>SUM(I16:M16)</f>
        <v>519206.85021434515</v>
      </c>
    </row>
    <row r="17" spans="1:14" ht="12.75">
      <c r="A17" s="21">
        <f>Assumptions!$H17</f>
        <v>2030</v>
      </c>
      <c r="B17" s="10">
        <f>IF(A17=Assumptions!$E$12,Assumptions!$E$14*(1-Assumptions!$B$3),G16)</f>
        <v>1302553.7069491139</v>
      </c>
      <c r="C17" s="10">
        <f>'Project 5'!I17</f>
        <v>0</v>
      </c>
      <c r="D17" s="10">
        <f>IF(B17&lt;1,0,IF(A17=Assumptions!$E$12,Assumptions!$E$18*Assumptions!$E$22,IF(Assumptions!$F$19="Y",IF(A17&gt;Assumptions!$F$12,Assumptions!$E$24,Assumptions!$E$22),Assumptions!$E$22)))</f>
        <v>140763.45088065503</v>
      </c>
      <c r="E17" s="10">
        <f>D17-F17</f>
        <v>52841.07566158984</v>
      </c>
      <c r="F17" s="10">
        <f>IF(B17=0,0,IF(D17&lt;Assumptions!$E$22,Assumptions!$E$18*Assumptions!$E$15*B17,B17*Assumptions!$E$15))</f>
        <v>87922.37521906519</v>
      </c>
      <c r="G17" s="10">
        <f>B17+C17-E17</f>
        <v>1249712.631287524</v>
      </c>
      <c r="I17" s="10">
        <f>IF(A17=Assumptions!$E$12,-Assumptions!$E$14*Assumptions!$B$3,0)</f>
        <v>0</v>
      </c>
      <c r="J17" s="10">
        <f>IF(Assumptions!$E$19="Y",-I17,0)</f>
        <v>0</v>
      </c>
      <c r="K17" s="10">
        <f>IF($A17-Assumptions!$E$13&lt;0,0,(Assumptions!$E$17*12*Assumptions!$E$16*Assumptions!$B$8)*(1+Assumptions!$B$9)^($A17-Assumptions!$E$13))</f>
        <v>1154948.0269162504</v>
      </c>
      <c r="L17" s="10">
        <f>IF(K17=0,0,-K17*Assumptions!$B$7)</f>
        <v>-461979.21076650015</v>
      </c>
      <c r="M17" s="10">
        <f>-E17-F17</f>
        <v>-140763.45088065503</v>
      </c>
      <c r="N17" s="10">
        <f>SUM(I17:M17)</f>
        <v>552205.3652690952</v>
      </c>
    </row>
    <row r="18" spans="1:14" ht="12.75">
      <c r="A18" s="21">
        <f>Assumptions!$H18</f>
        <v>2031</v>
      </c>
      <c r="B18" s="10">
        <f>IF(A18=Assumptions!$E$12,Assumptions!$E$14*(1-Assumptions!$B$3),G17)</f>
        <v>1249712.631287524</v>
      </c>
      <c r="C18" s="10">
        <f>'Project 5'!I18</f>
        <v>0</v>
      </c>
      <c r="D18" s="10">
        <f>IF(B18&lt;1,0,IF(A18=Assumptions!$E$12,Assumptions!$E$18*Assumptions!$E$22,IF(Assumptions!$F$19="Y",IF(A18&gt;Assumptions!$F$12,Assumptions!$E$24,Assumptions!$E$22),Assumptions!$E$22)))</f>
        <v>140763.45088065503</v>
      </c>
      <c r="E18" s="10">
        <f>D18-F18</f>
        <v>56407.848268747155</v>
      </c>
      <c r="F18" s="10">
        <f>IF(B18=0,0,IF(D18&lt;Assumptions!$E$22,Assumptions!$E$18*Assumptions!$E$15*B18,B18*Assumptions!$E$15))</f>
        <v>84355.60261190787</v>
      </c>
      <c r="G18" s="10">
        <f>B18+C18-E18</f>
        <v>1193304.783018777</v>
      </c>
      <c r="I18" s="10">
        <f>IF(A18=Assumptions!$E$12,-Assumptions!$E$14*Assumptions!$B$3,0)</f>
        <v>0</v>
      </c>
      <c r="J18" s="10">
        <f>IF(Assumptions!$E$19="Y",-I18,0)</f>
        <v>0</v>
      </c>
      <c r="K18" s="10">
        <f>IF($A18-Assumptions!$E$13&lt;0,0,(Assumptions!$E$17*12*Assumptions!$E$16*Assumptions!$B$8)*(1+Assumptions!$B$9)^($A18-Assumptions!$E$13))</f>
        <v>1212695.4282620628</v>
      </c>
      <c r="L18" s="10">
        <f>IF(K18=0,0,-K18*Assumptions!$B$7)</f>
        <v>-485078.17130482517</v>
      </c>
      <c r="M18" s="10">
        <f>-E18-F18</f>
        <v>-140763.45088065503</v>
      </c>
      <c r="N18" s="10">
        <f>SUM(I18:M18)</f>
        <v>586853.8060765826</v>
      </c>
    </row>
    <row r="19" spans="1:14" ht="12.75">
      <c r="A19" s="21">
        <f>Assumptions!$H19</f>
        <v>2032</v>
      </c>
      <c r="B19" s="10">
        <f>IF(A19=Assumptions!$E$12,Assumptions!$E$14*(1-Assumptions!$B$3),G18)</f>
        <v>1193304.783018777</v>
      </c>
      <c r="C19" s="10">
        <f>'Project 5'!I19</f>
        <v>0</v>
      </c>
      <c r="D19" s="10">
        <f>IF(B19&lt;1,0,IF(A19=Assumptions!$E$12,Assumptions!$E$18*Assumptions!$E$22,IF(Assumptions!$F$19="Y",IF(A19&gt;Assumptions!$F$12,Assumptions!$E$24,Assumptions!$E$22),Assumptions!$E$22)))</f>
        <v>140763.45088065503</v>
      </c>
      <c r="E19" s="10">
        <f>D19-F19</f>
        <v>60215.378026887585</v>
      </c>
      <c r="F19" s="10">
        <f>IF(B19=0,0,IF(D19&lt;Assumptions!$E$22,Assumptions!$E$18*Assumptions!$E$15*B19,B19*Assumptions!$E$15))</f>
        <v>80548.07285376744</v>
      </c>
      <c r="G19" s="10">
        <f>B19+C19-E19</f>
        <v>1133089.4049918894</v>
      </c>
      <c r="I19" s="10">
        <f>IF(A19=Assumptions!$E$12,-Assumptions!$E$14*Assumptions!$B$3,0)</f>
        <v>0</v>
      </c>
      <c r="J19" s="10">
        <f>IF(Assumptions!$E$19="Y",-I19,0)</f>
        <v>0</v>
      </c>
      <c r="K19" s="10">
        <f>IF($A19-Assumptions!$E$13&lt;0,0,(Assumptions!$E$17*12*Assumptions!$E$16*Assumptions!$B$8)*(1+Assumptions!$B$9)^($A19-Assumptions!$E$13))</f>
        <v>1273330.199675166</v>
      </c>
      <c r="L19" s="10">
        <f>IF(K19=0,0,-K19*Assumptions!$B$7)</f>
        <v>-509332.07987006643</v>
      </c>
      <c r="M19" s="10">
        <f>-E19-F19</f>
        <v>-140763.45088065503</v>
      </c>
      <c r="N19" s="10">
        <f>SUM(I19:M19)</f>
        <v>623234.6689244446</v>
      </c>
    </row>
    <row r="20" spans="1:14" ht="12.75">
      <c r="A20" s="21">
        <f>Assumptions!$H20</f>
        <v>2033</v>
      </c>
      <c r="B20" s="10">
        <f>IF(A20=Assumptions!$E$12,Assumptions!$E$14*(1-Assumptions!$B$3),G19)</f>
        <v>1133089.4049918894</v>
      </c>
      <c r="C20" s="10">
        <f>'Project 5'!I20</f>
        <v>0</v>
      </c>
      <c r="D20" s="10">
        <f>IF(B20&lt;1,0,IF(A20=Assumptions!$E$12,Assumptions!$E$18*Assumptions!$E$22,IF(Assumptions!$F$19="Y",IF(A20&gt;Assumptions!$F$12,Assumptions!$E$24,Assumptions!$E$22),Assumptions!$E$22)))</f>
        <v>140763.45088065503</v>
      </c>
      <c r="E20" s="10">
        <f>D20-F20</f>
        <v>64279.9160437025</v>
      </c>
      <c r="F20" s="10">
        <f>IF(B20=0,0,IF(D20&lt;Assumptions!$E$22,Assumptions!$E$18*Assumptions!$E$15*B20,B20*Assumptions!$E$15))</f>
        <v>76483.53483695253</v>
      </c>
      <c r="G20" s="10">
        <f>B20+C20-E20</f>
        <v>1068809.4889481869</v>
      </c>
      <c r="I20" s="10">
        <f>IF(A20=Assumptions!$E$12,-Assumptions!$E$14*Assumptions!$B$3,0)</f>
        <v>0</v>
      </c>
      <c r="J20" s="10">
        <f>IF(Assumptions!$E$19="Y",-I20,0)</f>
        <v>0</v>
      </c>
      <c r="K20" s="10">
        <f>IF($A20-Assumptions!$E$13&lt;0,0,(Assumptions!$E$17*12*Assumptions!$E$16*Assumptions!$B$8)*(1+Assumptions!$B$9)^($A20-Assumptions!$E$13))</f>
        <v>1336996.7096589245</v>
      </c>
      <c r="L20" s="10">
        <f>IF(K20=0,0,-K20*Assumptions!$B$7)</f>
        <v>-534798.6838635699</v>
      </c>
      <c r="M20" s="10">
        <f>-E20-F20</f>
        <v>-140763.45088065503</v>
      </c>
      <c r="N20" s="10">
        <f>SUM(I20:M20)</f>
        <v>661434.5749146997</v>
      </c>
    </row>
    <row r="21" spans="1:14" ht="12.75">
      <c r="A21" s="21">
        <f>Assumptions!$H21</f>
        <v>2034</v>
      </c>
      <c r="B21" s="10">
        <f>IF(A21=Assumptions!$E$12,Assumptions!$E$14*(1-Assumptions!$B$3),G20)</f>
        <v>1068809.4889481869</v>
      </c>
      <c r="C21" s="10">
        <f>'Project 5'!I21</f>
        <v>0</v>
      </c>
      <c r="D21" s="10">
        <f>IF(B21&lt;1,0,IF(A21=Assumptions!$E$12,Assumptions!$E$18*Assumptions!$E$22,IF(Assumptions!$F$19="Y",IF(A21&gt;Assumptions!$F$12,Assumptions!$E$24,Assumptions!$E$22),Assumptions!$E$22)))</f>
        <v>140763.45088065503</v>
      </c>
      <c r="E21" s="10">
        <f>D21-F21</f>
        <v>68618.81037665241</v>
      </c>
      <c r="F21" s="10">
        <f>IF(B21=0,0,IF(D21&lt;Assumptions!$E$22,Assumptions!$E$18*Assumptions!$E$15*B21,B21*Assumptions!$E$15))</f>
        <v>72144.64050400261</v>
      </c>
      <c r="G21" s="10">
        <f>B21+C21-E21</f>
        <v>1000190.6785715345</v>
      </c>
      <c r="I21" s="10">
        <f>IF(A21=Assumptions!$E$12,-Assumptions!$E$14*Assumptions!$B$3,0)</f>
        <v>0</v>
      </c>
      <c r="J21" s="10">
        <f>IF(Assumptions!$E$19="Y",-I21,0)</f>
        <v>0</v>
      </c>
      <c r="K21" s="10">
        <f>IF($A21-Assumptions!$E$13&lt;0,0,(Assumptions!$E$17*12*Assumptions!$E$16*Assumptions!$B$8)*(1+Assumptions!$B$9)^($A21-Assumptions!$E$13))</f>
        <v>1403846.5451418706</v>
      </c>
      <c r="L21" s="10">
        <f>IF(K21=0,0,-K21*Assumptions!$B$7)</f>
        <v>-561538.6180567483</v>
      </c>
      <c r="M21" s="10">
        <f>-E21-F21</f>
        <v>-140763.45088065503</v>
      </c>
      <c r="N21" s="10">
        <f>SUM(I21:M21)</f>
        <v>701544.4762044672</v>
      </c>
    </row>
    <row r="22" spans="1:14" ht="12.75">
      <c r="A22" s="21">
        <f>Assumptions!$H22</f>
        <v>2035</v>
      </c>
      <c r="B22" s="10">
        <f>IF(A22=Assumptions!$E$12,Assumptions!$E$14*(1-Assumptions!$B$3),G21)</f>
        <v>1000190.6785715345</v>
      </c>
      <c r="C22" s="10">
        <f>'Project 5'!I22</f>
        <v>0</v>
      </c>
      <c r="D22" s="10">
        <f>IF(B22&lt;1,0,IF(A22=Assumptions!$E$12,Assumptions!$E$18*Assumptions!$E$22,IF(Assumptions!$F$19="Y",IF(A22&gt;Assumptions!$F$12,Assumptions!$E$24,Assumptions!$E$22),Assumptions!$E$22)))</f>
        <v>140763.45088065503</v>
      </c>
      <c r="E22" s="10">
        <f>D22-F22</f>
        <v>73250.58007707645</v>
      </c>
      <c r="F22" s="10">
        <f>IF(B22=0,0,IF(D22&lt;Assumptions!$E$22,Assumptions!$E$18*Assumptions!$E$15*B22,B22*Assumptions!$E$15))</f>
        <v>67512.87080357858</v>
      </c>
      <c r="G22" s="10">
        <f>B22+C22-E22</f>
        <v>926940.098494458</v>
      </c>
      <c r="I22" s="10">
        <f>IF(A22=Assumptions!$E$12,-Assumptions!$E$14*Assumptions!$B$3,0)</f>
        <v>0</v>
      </c>
      <c r="J22" s="10">
        <f>IF(Assumptions!$E$19="Y",-I22,0)</f>
        <v>0</v>
      </c>
      <c r="K22" s="10">
        <f>IF($A22-Assumptions!$E$13&lt;0,0,(Assumptions!$E$17*12*Assumptions!$E$16*Assumptions!$B$8)*(1+Assumptions!$B$9)^($A22-Assumptions!$E$13))</f>
        <v>1474038.8723989644</v>
      </c>
      <c r="L22" s="10">
        <f>IF(K22=0,0,-K22*Assumptions!$B$7)</f>
        <v>-589615.5489595857</v>
      </c>
      <c r="M22" s="10">
        <f>-E22-F22</f>
        <v>-140763.45088065503</v>
      </c>
      <c r="N22" s="10">
        <f>SUM(I22:M22)</f>
        <v>743659.8725587237</v>
      </c>
    </row>
    <row r="23" spans="1:14" ht="12.75">
      <c r="A23" s="21">
        <f>Assumptions!$H23</f>
        <v>2036</v>
      </c>
      <c r="B23" s="10">
        <f>IF(A23=Assumptions!$E$12,Assumptions!$E$14*(1-Assumptions!$B$3),G22)</f>
        <v>926940.098494458</v>
      </c>
      <c r="C23" s="10">
        <f>'Project 5'!I23</f>
        <v>0</v>
      </c>
      <c r="D23" s="10">
        <f>IF(B23&lt;1,0,IF(A23=Assumptions!$E$12,Assumptions!$E$18*Assumptions!$E$22,IF(Assumptions!$F$19="Y",IF(A23&gt;Assumptions!$F$12,Assumptions!$E$24,Assumptions!$E$22),Assumptions!$E$22)))</f>
        <v>140763.45088065503</v>
      </c>
      <c r="E23" s="10">
        <f>D23-F23</f>
        <v>78194.9942322791</v>
      </c>
      <c r="F23" s="10">
        <f>IF(B23=0,0,IF(D23&lt;Assumptions!$E$22,Assumptions!$E$18*Assumptions!$E$15*B23,B23*Assumptions!$E$15))</f>
        <v>62568.45664837592</v>
      </c>
      <c r="G23" s="10">
        <f>B23+C23-E23</f>
        <v>848745.1042621789</v>
      </c>
      <c r="I23" s="10">
        <f>IF(A23=Assumptions!$E$12,-Assumptions!$E$14*Assumptions!$B$3,0)</f>
        <v>0</v>
      </c>
      <c r="J23" s="10">
        <f>IF(Assumptions!$E$19="Y",-I23,0)</f>
        <v>0</v>
      </c>
      <c r="K23" s="10">
        <f>IF($A23-Assumptions!$E$13&lt;0,0,(Assumptions!$E$17*12*Assumptions!$E$16*Assumptions!$B$8)*(1+Assumptions!$B$9)^($A23-Assumptions!$E$13))</f>
        <v>1547740.8160189127</v>
      </c>
      <c r="L23" s="10">
        <f>IF(K23=0,0,-K23*Assumptions!$B$7)</f>
        <v>-619096.3264075652</v>
      </c>
      <c r="M23" s="10">
        <f>-E23-F23</f>
        <v>-140763.45088065503</v>
      </c>
      <c r="N23" s="10">
        <f>SUM(I23:M23)</f>
        <v>787881.0387306926</v>
      </c>
    </row>
    <row r="24" spans="1:14" ht="12.75">
      <c r="A24" s="21">
        <f>Assumptions!$H24</f>
        <v>2037</v>
      </c>
      <c r="B24" s="10">
        <f>IF(A24=Assumptions!$E$12,Assumptions!$E$14*(1-Assumptions!$B$3),G23)</f>
        <v>848745.1042621789</v>
      </c>
      <c r="C24" s="10">
        <f>'Project 5'!I24</f>
        <v>0</v>
      </c>
      <c r="D24" s="10">
        <f>IF(B24&lt;1,0,IF(A24=Assumptions!$E$12,Assumptions!$E$18*Assumptions!$E$22,IF(Assumptions!$F$19="Y",IF(A24&gt;Assumptions!$F$12,Assumptions!$E$24,Assumptions!$E$22),Assumptions!$E$22)))</f>
        <v>140763.45088065503</v>
      </c>
      <c r="E24" s="10">
        <f>D24-F24</f>
        <v>83473.15634295795</v>
      </c>
      <c r="F24" s="10">
        <f>IF(B24=0,0,IF(D24&lt;Assumptions!$E$22,Assumptions!$E$18*Assumptions!$E$15*B24,B24*Assumptions!$E$15))</f>
        <v>57290.294537697075</v>
      </c>
      <c r="G24" s="10">
        <f>B24+C24-E24</f>
        <v>765271.9479192209</v>
      </c>
      <c r="I24" s="10">
        <f>IF(A24=Assumptions!$E$12,-Assumptions!$E$14*Assumptions!$B$3,0)</f>
        <v>0</v>
      </c>
      <c r="J24" s="10">
        <f>IF(Assumptions!$E$19="Y",-I24,0)</f>
        <v>0</v>
      </c>
      <c r="K24" s="10">
        <f>IF($A24-Assumptions!$E$13&lt;0,0,(Assumptions!$E$17*12*Assumptions!$E$16*Assumptions!$B$8)*(1+Assumptions!$B$9)^($A24-Assumptions!$E$13))</f>
        <v>1625127.8568198585</v>
      </c>
      <c r="L24" s="10">
        <f>IF(K24=0,0,-K24*Assumptions!$B$7)</f>
        <v>-650051.1427279435</v>
      </c>
      <c r="M24" s="10">
        <f>-E24-F24</f>
        <v>-140763.45088065503</v>
      </c>
      <c r="N24" s="10">
        <f>SUM(I24:M24)</f>
        <v>834313.2632112601</v>
      </c>
    </row>
    <row r="25" spans="1:14" ht="12.75">
      <c r="A25" s="21">
        <f>Assumptions!$H25</f>
        <v>2038</v>
      </c>
      <c r="B25" s="10">
        <f>IF(A25=Assumptions!$E$12,Assumptions!$E$14*(1-Assumptions!$B$3),G24)</f>
        <v>765271.9479192209</v>
      </c>
      <c r="C25" s="10">
        <f>'Project 5'!I25</f>
        <v>0</v>
      </c>
      <c r="D25" s="10">
        <f>IF(B25&lt;1,0,IF(A25=Assumptions!$E$12,Assumptions!$E$18*Assumptions!$E$22,IF(Assumptions!$F$19="Y",IF(A25&gt;Assumptions!$F$12,Assumptions!$E$24,Assumptions!$E$22),Assumptions!$E$22)))</f>
        <v>140763.45088065503</v>
      </c>
      <c r="E25" s="10">
        <f>D25-F25</f>
        <v>89107.59439610761</v>
      </c>
      <c r="F25" s="10">
        <f>IF(B25=0,0,IF(D25&lt;Assumptions!$E$22,Assumptions!$E$18*Assumptions!$E$15*B25,B25*Assumptions!$E$15))</f>
        <v>51655.85648454742</v>
      </c>
      <c r="G25" s="10">
        <f>B25+C25-E25</f>
        <v>676164.3535231133</v>
      </c>
      <c r="I25" s="10">
        <f>IF(A25=Assumptions!$E$12,-Assumptions!$E$14*Assumptions!$B$3,0)</f>
        <v>0</v>
      </c>
      <c r="J25" s="10">
        <f>IF(Assumptions!$E$19="Y",-I25,0)</f>
        <v>0</v>
      </c>
      <c r="K25" s="10">
        <f>IF($A25-Assumptions!$E$13&lt;0,0,(Assumptions!$E$17*12*Assumptions!$E$16*Assumptions!$B$8)*(1+Assumptions!$B$9)^($A25-Assumptions!$E$13))</f>
        <v>1706384.2496608514</v>
      </c>
      <c r="L25" s="10">
        <f>IF(K25=0,0,-K25*Assumptions!$B$7)</f>
        <v>-682553.6998643406</v>
      </c>
      <c r="M25" s="10">
        <f>-E25-F25</f>
        <v>-140763.45088065503</v>
      </c>
      <c r="N25" s="10">
        <f>SUM(I25:M25)</f>
        <v>883067.0989158559</v>
      </c>
    </row>
    <row r="26" spans="1:14" ht="12.75">
      <c r="A26" s="21">
        <f>Assumptions!$H26</f>
        <v>2039</v>
      </c>
      <c r="B26" s="10">
        <f>IF(A26=Assumptions!$E$12,Assumptions!$E$14*(1-Assumptions!$B$3),G25)</f>
        <v>676164.3535231133</v>
      </c>
      <c r="C26" s="10">
        <f>'Project 5'!I26</f>
        <v>0</v>
      </c>
      <c r="D26" s="10">
        <f>IF(B26&lt;1,0,IF(A26=Assumptions!$E$12,Assumptions!$E$18*Assumptions!$E$22,IF(Assumptions!$F$19="Y",IF(A26&gt;Assumptions!$F$12,Assumptions!$E$24,Assumptions!$E$22),Assumptions!$E$22)))</f>
        <v>140763.45088065503</v>
      </c>
      <c r="E26" s="10">
        <f>D26-F26</f>
        <v>95122.35701784489</v>
      </c>
      <c r="F26" s="10">
        <f>IF(B26=0,0,IF(D26&lt;Assumptions!$E$22,Assumptions!$E$18*Assumptions!$E$15*B26,B26*Assumptions!$E$15))</f>
        <v>45641.09386281015</v>
      </c>
      <c r="G26" s="10">
        <f>B26+C26-E26</f>
        <v>581041.9965052684</v>
      </c>
      <c r="I26" s="10">
        <f>IF(A26=Assumptions!$E$12,-Assumptions!$E$14*Assumptions!$B$3,0)</f>
        <v>0</v>
      </c>
      <c r="J26" s="10">
        <f>IF(Assumptions!$E$19="Y",-I26,0)</f>
        <v>0</v>
      </c>
      <c r="K26" s="10">
        <f>IF($A26-Assumptions!$E$13&lt;0,0,(Assumptions!$E$17*12*Assumptions!$E$16*Assumptions!$B$8)*(1+Assumptions!$B$9)^($A26-Assumptions!$E$13))</f>
        <v>1791703.4621438938</v>
      </c>
      <c r="L26" s="10">
        <f>IF(K26=0,0,-K26*Assumptions!$B$7)</f>
        <v>-716681.3848575576</v>
      </c>
      <c r="M26" s="10">
        <f>-E26-F26</f>
        <v>-140763.45088065503</v>
      </c>
      <c r="N26" s="10">
        <f>SUM(I26:M26)</f>
        <v>934258.6264056813</v>
      </c>
    </row>
    <row r="27" spans="1:14" ht="12.75">
      <c r="A27" s="21">
        <f>Assumptions!$H27</f>
        <v>2040</v>
      </c>
      <c r="B27" s="10">
        <f>IF(A27=Assumptions!$E$12,Assumptions!$E$14*(1-Assumptions!$B$3),G26)</f>
        <v>581041.9965052684</v>
      </c>
      <c r="C27" s="10">
        <f>'Project 5'!I27</f>
        <v>0</v>
      </c>
      <c r="D27" s="10">
        <f>IF(B27&lt;1,0,IF(A27=Assumptions!$E$12,Assumptions!$E$18*Assumptions!$E$22,IF(Assumptions!$F$19="Y",IF(A27&gt;Assumptions!$F$12,Assumptions!$E$24,Assumptions!$E$22),Assumptions!$E$22)))</f>
        <v>140763.45088065503</v>
      </c>
      <c r="E27" s="10">
        <f>D27-F27</f>
        <v>101543.11611654941</v>
      </c>
      <c r="F27" s="10">
        <f>IF(B27=0,0,IF(D27&lt;Assumptions!$E$22,Assumptions!$E$18*Assumptions!$E$15*B27,B27*Assumptions!$E$15))</f>
        <v>39220.33476410562</v>
      </c>
      <c r="G27" s="10">
        <f>B27+C27-E27</f>
        <v>479498.880388719</v>
      </c>
      <c r="I27" s="10">
        <f>IF(A27=Assumptions!$E$12,-Assumptions!$E$14*Assumptions!$B$3,0)</f>
        <v>0</v>
      </c>
      <c r="J27" s="10">
        <f>IF(Assumptions!$E$19="Y",-I27,0)</f>
        <v>0</v>
      </c>
      <c r="K27" s="10">
        <f>IF($A27-Assumptions!$E$13&lt;0,0,(Assumptions!$E$17*12*Assumptions!$E$16*Assumptions!$B$8)*(1+Assumptions!$B$9)^($A27-Assumptions!$E$13))</f>
        <v>1881288.6352510888</v>
      </c>
      <c r="L27" s="10">
        <f>IF(K27=0,0,-K27*Assumptions!$B$7)</f>
        <v>-752515.4541004356</v>
      </c>
      <c r="M27" s="10">
        <f>-E27-F27</f>
        <v>-140763.45088065503</v>
      </c>
      <c r="N27" s="10">
        <f>SUM(I27:M27)</f>
        <v>988009.7302699981</v>
      </c>
    </row>
    <row r="28" spans="1:14" ht="12.75">
      <c r="A28" s="21">
        <f>Assumptions!$H28</f>
        <v>2041</v>
      </c>
      <c r="B28" s="10">
        <f>IF(A28=Assumptions!$E$12,Assumptions!$E$14*(1-Assumptions!$B$3),G27)</f>
        <v>479498.880388719</v>
      </c>
      <c r="C28" s="10">
        <f>'Project 5'!I28</f>
        <v>0</v>
      </c>
      <c r="D28" s="10">
        <f>IF(B28&lt;1,0,IF(A28=Assumptions!$E$12,Assumptions!$E$18*Assumptions!$E$22,IF(Assumptions!$F$19="Y",IF(A28&gt;Assumptions!$F$12,Assumptions!$E$24,Assumptions!$E$22),Assumptions!$E$22)))</f>
        <v>140763.45088065503</v>
      </c>
      <c r="E28" s="10">
        <f>D28-F28</f>
        <v>108397.2764544165</v>
      </c>
      <c r="F28" s="10">
        <f>IF(B28=0,0,IF(D28&lt;Assumptions!$E$22,Assumptions!$E$18*Assumptions!$E$15*B28,B28*Assumptions!$E$15))</f>
        <v>32366.174426238533</v>
      </c>
      <c r="G28" s="10">
        <f>B28+C28-E28</f>
        <v>371101.60393430246</v>
      </c>
      <c r="I28" s="10">
        <f>IF(A28=Assumptions!$E$12,-Assumptions!$E$14*Assumptions!$B$3,0)</f>
        <v>0</v>
      </c>
      <c r="J28" s="10">
        <f>IF(Assumptions!$E$19="Y",-I28,0)</f>
        <v>0</v>
      </c>
      <c r="K28" s="10">
        <f>IF($A28-Assumptions!$E$13&lt;0,0,(Assumptions!$E$17*12*Assumptions!$E$16*Assumptions!$B$8)*(1+Assumptions!$B$9)^($A28-Assumptions!$E$13))</f>
        <v>1975353.0670136432</v>
      </c>
      <c r="L28" s="10">
        <f>IF(K28=0,0,-K28*Assumptions!$B$7)</f>
        <v>-790141.2268054574</v>
      </c>
      <c r="M28" s="10">
        <f>-E28-F28</f>
        <v>-140763.45088065503</v>
      </c>
      <c r="N28" s="10">
        <f>SUM(I28:M28)</f>
        <v>1044448.3893275307</v>
      </c>
    </row>
    <row r="29" spans="1:14" ht="12.75">
      <c r="A29" s="21">
        <f>Assumptions!$H29</f>
        <v>2042</v>
      </c>
      <c r="B29" s="10">
        <f>IF(A29=Assumptions!$E$12,Assumptions!$E$14*(1-Assumptions!$B$3),G28)</f>
        <v>371101.60393430246</v>
      </c>
      <c r="C29" s="10">
        <f>'Project 5'!I29</f>
        <v>0</v>
      </c>
      <c r="D29" s="10">
        <f>IF(B29&lt;1,0,IF(A29=Assumptions!$E$12,Assumptions!$E$18*Assumptions!$E$22,IF(Assumptions!$F$19="Y",IF(A29&gt;Assumptions!$F$12,Assumptions!$E$24,Assumptions!$E$22),Assumptions!$E$22)))</f>
        <v>140763.45088065503</v>
      </c>
      <c r="E29" s="10">
        <f>D29-F29</f>
        <v>115714.09261508961</v>
      </c>
      <c r="F29" s="10">
        <f>IF(B29=0,0,IF(D29&lt;Assumptions!$E$22,Assumptions!$E$18*Assumptions!$E$15*B29,B29*Assumptions!$E$15))</f>
        <v>25049.358265565417</v>
      </c>
      <c r="G29" s="10">
        <f>B29+C29-E29</f>
        <v>255387.51131921285</v>
      </c>
      <c r="I29" s="10">
        <f>IF(A29=Assumptions!$E$12,-Assumptions!$E$14*Assumptions!$B$3,0)</f>
        <v>0</v>
      </c>
      <c r="J29" s="10">
        <f>IF(Assumptions!$E$19="Y",-I29,0)</f>
        <v>0</v>
      </c>
      <c r="K29" s="10">
        <f>IF($A29-Assumptions!$E$13&lt;0,0,(Assumptions!$E$17*12*Assumptions!$E$16*Assumptions!$B$8)*(1+Assumptions!$B$9)^($A29-Assumptions!$E$13))</f>
        <v>2074120.7203643257</v>
      </c>
      <c r="L29" s="10">
        <f>IF(K29=0,0,-K29*Assumptions!$B$7)</f>
        <v>-829648.2881457303</v>
      </c>
      <c r="M29" s="10">
        <f>-E29-F29</f>
        <v>-140763.45088065503</v>
      </c>
      <c r="N29" s="10">
        <f>SUM(I29:M29)</f>
        <v>1103708.9813379403</v>
      </c>
    </row>
    <row r="30" spans="1:14" ht="12.75">
      <c r="A30" s="21">
        <f>Assumptions!$H30</f>
        <v>2043</v>
      </c>
      <c r="B30" s="10">
        <f>IF(A30=Assumptions!$E$12,Assumptions!$E$14*(1-Assumptions!$B$3),G29)</f>
        <v>255387.51131921285</v>
      </c>
      <c r="C30" s="10">
        <f>'Project 5'!I30</f>
        <v>0</v>
      </c>
      <c r="D30" s="10">
        <f>IF(B30&lt;1,0,IF(A30=Assumptions!$E$12,Assumptions!$E$18*Assumptions!$E$22,IF(Assumptions!$F$19="Y",IF(A30&gt;Assumptions!$F$12,Assumptions!$E$24,Assumptions!$E$22),Assumptions!$E$22)))</f>
        <v>140763.45088065503</v>
      </c>
      <c r="E30" s="10">
        <f>D30-F30</f>
        <v>123524.79386660816</v>
      </c>
      <c r="F30" s="10">
        <f>IF(B30=0,0,IF(D30&lt;Assumptions!$E$22,Assumptions!$E$18*Assumptions!$E$15*B30,B30*Assumptions!$E$15))</f>
        <v>17238.65701404687</v>
      </c>
      <c r="G30" s="10">
        <f>B30+C30-E30</f>
        <v>131862.71745260467</v>
      </c>
      <c r="I30" s="10">
        <f>IF(A30=Assumptions!$E$12,-Assumptions!$E$14*Assumptions!$B$3,0)</f>
        <v>0</v>
      </c>
      <c r="J30" s="10">
        <f>IF(Assumptions!$E$19="Y",-I30,0)</f>
        <v>0</v>
      </c>
      <c r="K30" s="10">
        <f>IF($A30-Assumptions!$E$13&lt;0,0,(Assumptions!$E$17*12*Assumptions!$E$16*Assumptions!$B$8)*(1+Assumptions!$B$9)^($A30-Assumptions!$E$13))</f>
        <v>2177826.7563825417</v>
      </c>
      <c r="L30" s="10">
        <f>IF(K30=0,0,-K30*Assumptions!$B$7)</f>
        <v>-871130.7025530167</v>
      </c>
      <c r="M30" s="10">
        <f>-E30-F30</f>
        <v>-140763.45088065503</v>
      </c>
      <c r="N30" s="10">
        <f>SUM(I30:M30)</f>
        <v>1165932.60294887</v>
      </c>
    </row>
    <row r="31" spans="1:14" ht="12.75">
      <c r="A31" s="21">
        <f>Assumptions!$H31</f>
        <v>2044</v>
      </c>
      <c r="B31" s="10">
        <f>IF(A31=Assumptions!$E$12,Assumptions!$E$14*(1-Assumptions!$B$3),G30)</f>
        <v>131862.71745260467</v>
      </c>
      <c r="C31" s="10">
        <f>'Project 5'!I31</f>
        <v>0</v>
      </c>
      <c r="D31" s="10">
        <f>IF(B31&lt;1,0,IF(A31=Assumptions!$E$12,Assumptions!$E$18*Assumptions!$E$22,IF(Assumptions!$F$19="Y",IF(A31&gt;Assumptions!$F$12,Assumptions!$E$24,Assumptions!$E$22),Assumptions!$E$22)))</f>
        <v>140763.45088065503</v>
      </c>
      <c r="E31" s="10">
        <f>D31-F31</f>
        <v>131862.7174526042</v>
      </c>
      <c r="F31" s="10">
        <f>IF(B31=0,0,IF(D31&lt;Assumptions!$E$22,Assumptions!$E$18*Assumptions!$E$15*B31,B31*Assumptions!$E$15))</f>
        <v>8900.733428050817</v>
      </c>
      <c r="G31" s="10">
        <f>B31+C31-E31</f>
        <v>0</v>
      </c>
      <c r="I31" s="10">
        <f>IF(A31=Assumptions!$E$12,-Assumptions!$E$14*Assumptions!$B$3,0)</f>
        <v>0</v>
      </c>
      <c r="J31" s="10">
        <f>IF(Assumptions!$E$19="Y",-I31,0)</f>
        <v>0</v>
      </c>
      <c r="K31" s="10">
        <f>IF($A31-Assumptions!$E$13&lt;0,0,(Assumptions!$E$17*12*Assumptions!$E$16*Assumptions!$B$8)*(1+Assumptions!$B$9)^($A31-Assumptions!$E$13))</f>
        <v>2286718.094201669</v>
      </c>
      <c r="L31" s="10">
        <f>IF(K31=0,0,-K31*Assumptions!$B$7)</f>
        <v>-914687.2376806677</v>
      </c>
      <c r="M31" s="10">
        <f>-E31-F31</f>
        <v>-140763.45088065503</v>
      </c>
      <c r="N31" s="10">
        <f>SUM(I31:M31)</f>
        <v>1231267.4056403465</v>
      </c>
    </row>
    <row r="32" spans="1:14" ht="12.75">
      <c r="A32" s="21">
        <f>Assumptions!$H32</f>
        <v>2045</v>
      </c>
      <c r="B32" s="10">
        <f>IF(A32=Assumptions!$E$12,Assumptions!$E$14*(1-Assumptions!$B$3),G31)</f>
        <v>0</v>
      </c>
      <c r="C32" s="10">
        <f>'Project 5'!I32</f>
        <v>0</v>
      </c>
      <c r="D32" s="10">
        <f>IF(B32&lt;1,0,IF(A32=Assumptions!$E$12,Assumptions!$E$18*Assumptions!$E$22,IF(Assumptions!$F$19="Y",IF(A32&gt;Assumptions!$F$12,Assumptions!$E$24,Assumptions!$E$22),Assumptions!$E$22)))</f>
        <v>0</v>
      </c>
      <c r="E32" s="10">
        <f>D32-F32</f>
        <v>0</v>
      </c>
      <c r="F32" s="10">
        <f>IF(B32=0,0,IF(D32&lt;Assumptions!$E$22,Assumptions!$E$18*Assumptions!$E$15*B32,B32*Assumptions!$E$15))</f>
        <v>0</v>
      </c>
      <c r="G32" s="10">
        <f>B32+C32-E32</f>
        <v>0</v>
      </c>
      <c r="I32" s="10">
        <f>IF(A32=Assumptions!$E$12,-Assumptions!$E$14*Assumptions!$B$3,0)</f>
        <v>0</v>
      </c>
      <c r="J32" s="10">
        <f>IF(Assumptions!$E$19="Y",-I32,0)</f>
        <v>0</v>
      </c>
      <c r="K32" s="10">
        <f>IF($A32-Assumptions!$E$13&lt;0,0,(Assumptions!$E$17*12*Assumptions!$E$16*Assumptions!$B$8)*(1+Assumptions!$B$9)^($A32-Assumptions!$E$13))</f>
        <v>2401053.998911753</v>
      </c>
      <c r="L32" s="10">
        <f>IF(K32=0,0,-K32*Assumptions!$B$7)</f>
        <v>-960421.5995647012</v>
      </c>
      <c r="M32" s="10">
        <f>-E32-F32</f>
        <v>0</v>
      </c>
      <c r="N32" s="10">
        <f>SUM(I32:M32)</f>
        <v>1440632.3993470515</v>
      </c>
    </row>
    <row r="33" spans="1:14" ht="12.75">
      <c r="A33" s="21">
        <f>Assumptions!$H33</f>
        <v>2046</v>
      </c>
      <c r="B33" s="10">
        <f>IF(A33=Assumptions!$E$12,Assumptions!$E$14*(1-Assumptions!$B$3),G32)</f>
        <v>0</v>
      </c>
      <c r="C33" s="10">
        <f>'Project 5'!I33</f>
        <v>0</v>
      </c>
      <c r="D33" s="10">
        <f>IF(B33&lt;1,0,IF(A33=Assumptions!$E$12,Assumptions!$E$18*Assumptions!$E$22,IF(Assumptions!$F$19="Y",IF(A33&gt;Assumptions!$F$12,Assumptions!$E$24,Assumptions!$E$22),Assumptions!$E$22)))</f>
        <v>0</v>
      </c>
      <c r="E33" s="10">
        <f>D33-F33</f>
        <v>0</v>
      </c>
      <c r="F33" s="10">
        <f>IF(B33=0,0,IF(D33&lt;Assumptions!$E$22,Assumptions!$E$18*Assumptions!$E$15*B33,B33*Assumptions!$E$15))</f>
        <v>0</v>
      </c>
      <c r="G33" s="10">
        <f>B33+C33-E33</f>
        <v>0</v>
      </c>
      <c r="I33" s="10">
        <f>IF(A33=Assumptions!$E$12,-Assumptions!$E$14*Assumptions!$B$3,0)</f>
        <v>0</v>
      </c>
      <c r="J33" s="10">
        <f>IF(Assumptions!$E$19="Y",-I33,0)</f>
        <v>0</v>
      </c>
      <c r="K33" s="10">
        <f>IF($A33-Assumptions!$E$13&lt;0,0,(Assumptions!$E$17*12*Assumptions!$E$16*Assumptions!$B$8)*(1+Assumptions!$B$9)^($A33-Assumptions!$E$13))</f>
        <v>2521106.6988573405</v>
      </c>
      <c r="L33" s="10">
        <f>IF(K33=0,0,-K33*Assumptions!$B$7)</f>
        <v>-1008442.6795429363</v>
      </c>
      <c r="M33" s="10">
        <f>-E33-F33</f>
        <v>0</v>
      </c>
      <c r="N33" s="10">
        <f>SUM(I33:M33)</f>
        <v>1512664.019314404</v>
      </c>
    </row>
    <row r="34" spans="1:14" ht="12.75">
      <c r="A34" s="21">
        <f>Assumptions!$H34</f>
        <v>2047</v>
      </c>
      <c r="B34" s="10">
        <f>IF(A34=Assumptions!$E$12,Assumptions!$E$14*(1-Assumptions!$B$3),G33)</f>
        <v>0</v>
      </c>
      <c r="C34" s="10">
        <f>'Project 5'!I34</f>
        <v>0</v>
      </c>
      <c r="D34" s="10">
        <f>IF(B34&lt;1,0,IF(A34=Assumptions!$E$12,Assumptions!$E$18*Assumptions!$E$22,IF(Assumptions!$F$19="Y",IF(A34&gt;Assumptions!$F$12,Assumptions!$E$24,Assumptions!$E$22),Assumptions!$E$22)))</f>
        <v>0</v>
      </c>
      <c r="E34" s="10">
        <f>D34-F34</f>
        <v>0</v>
      </c>
      <c r="F34" s="10">
        <f>IF(B34=0,0,IF(D34&lt;Assumptions!$E$22,Assumptions!$E$18*Assumptions!$E$15*B34,B34*Assumptions!$E$15))</f>
        <v>0</v>
      </c>
      <c r="G34" s="10">
        <f>B34+C34-E34</f>
        <v>0</v>
      </c>
      <c r="I34" s="10">
        <f>IF(A34=Assumptions!$E$12,-Assumptions!$E$14*Assumptions!$B$3,0)</f>
        <v>0</v>
      </c>
      <c r="J34" s="10">
        <f>IF(Assumptions!$E$19="Y",-I34,0)</f>
        <v>0</v>
      </c>
      <c r="K34" s="10">
        <f>IF($A34-Assumptions!$E$13&lt;0,0,(Assumptions!$E$17*12*Assumptions!$E$16*Assumptions!$B$8)*(1+Assumptions!$B$9)^($A34-Assumptions!$E$13))</f>
        <v>2647162.0338002075</v>
      </c>
      <c r="L34" s="10">
        <f>IF(K34=0,0,-K34*Assumptions!$B$7)</f>
        <v>-1058864.813520083</v>
      </c>
      <c r="M34" s="10">
        <f>-E34-F34</f>
        <v>0</v>
      </c>
      <c r="N34" s="10">
        <f>SUM(I34:M34)</f>
        <v>1588297.2202801246</v>
      </c>
    </row>
    <row r="35" spans="1:14" ht="12.75">
      <c r="A35" s="21">
        <f>Assumptions!$H35</f>
        <v>2048</v>
      </c>
      <c r="B35" s="10">
        <f>IF(A35=Assumptions!$E$12,Assumptions!$E$14*(1-Assumptions!$B$3),G34)</f>
        <v>0</v>
      </c>
      <c r="C35" s="10">
        <f>'Project 5'!I35</f>
        <v>0</v>
      </c>
      <c r="D35" s="10">
        <f>IF(B35&lt;1,0,IF(A35=Assumptions!$E$12,Assumptions!$E$18*Assumptions!$E$22,IF(Assumptions!$F$19="Y",IF(A35&gt;Assumptions!$F$12,Assumptions!$E$24,Assumptions!$E$22),Assumptions!$E$22)))</f>
        <v>0</v>
      </c>
      <c r="E35" s="10">
        <f>D35-F35</f>
        <v>0</v>
      </c>
      <c r="F35" s="10">
        <f>IF(B35=0,0,IF(D35&lt;Assumptions!$E$22,Assumptions!$E$18*Assumptions!$E$15*B35,B35*Assumptions!$E$15))</f>
        <v>0</v>
      </c>
      <c r="G35" s="10">
        <f>B35+C35-E35</f>
        <v>0</v>
      </c>
      <c r="I35" s="10">
        <f>IF(A35=Assumptions!$E$12,-Assumptions!$E$14*Assumptions!$B$3,0)</f>
        <v>0</v>
      </c>
      <c r="J35" s="10">
        <f>IF(Assumptions!$E$19="Y",-I35,0)</f>
        <v>0</v>
      </c>
      <c r="K35" s="10">
        <f>IF($A35-Assumptions!$E$13&lt;0,0,(Assumptions!$E$17*12*Assumptions!$E$16*Assumptions!$B$8)*(1+Assumptions!$B$9)^($A35-Assumptions!$E$13))</f>
        <v>2779520.135490218</v>
      </c>
      <c r="L35" s="10">
        <f>IF(K35=0,0,-K35*Assumptions!$B$7)</f>
        <v>-1111808.0541960874</v>
      </c>
      <c r="M35" s="10">
        <f>-E35-F35</f>
        <v>0</v>
      </c>
      <c r="N35" s="10">
        <f>SUM(I35:M35)</f>
        <v>1667712.0812941308</v>
      </c>
    </row>
    <row r="36" spans="1:14" ht="12.75">
      <c r="A36" s="21">
        <f>Assumptions!$H36</f>
        <v>2049</v>
      </c>
      <c r="B36" s="10">
        <f>IF(A36=Assumptions!$E$12,Assumptions!$E$14*(1-Assumptions!$B$3),G35)</f>
        <v>0</v>
      </c>
      <c r="C36" s="10">
        <f>'Project 5'!I36</f>
        <v>0</v>
      </c>
      <c r="D36" s="10">
        <f>IF(B36&lt;1,0,IF(A36=Assumptions!$E$12,Assumptions!$E$18*Assumptions!$E$22,IF(Assumptions!$F$19="Y",IF(A36&gt;Assumptions!$F$12,Assumptions!$E$24,Assumptions!$E$22),Assumptions!$E$22)))</f>
        <v>0</v>
      </c>
      <c r="E36" s="10">
        <f>D36-F36</f>
        <v>0</v>
      </c>
      <c r="F36" s="10">
        <f>IF(B36=0,0,IF(D36&lt;Assumptions!$E$22,Assumptions!$E$18*Assumptions!$E$15*B36,B36*Assumptions!$E$15))</f>
        <v>0</v>
      </c>
      <c r="G36" s="10">
        <f>B36+C36-E36</f>
        <v>0</v>
      </c>
      <c r="I36" s="10">
        <f>IF(A36=Assumptions!$E$12,-Assumptions!$E$14*Assumptions!$B$3,0)</f>
        <v>0</v>
      </c>
      <c r="J36" s="10">
        <f>IF(Assumptions!$E$19="Y",-I36,0)</f>
        <v>0</v>
      </c>
      <c r="K36" s="10">
        <f>IF($A36-Assumptions!$E$13&lt;0,0,(Assumptions!$E$17*12*Assumptions!$E$16*Assumptions!$B$8)*(1+Assumptions!$B$9)^($A36-Assumptions!$E$13))</f>
        <v>2918496.142264729</v>
      </c>
      <c r="L36" s="10">
        <f>IF(K36=0,0,-K36*Assumptions!$B$7)</f>
        <v>-1167398.4569058917</v>
      </c>
      <c r="M36" s="10">
        <f>-E36-F36</f>
        <v>0</v>
      </c>
      <c r="N36" s="10">
        <f>SUM(I36:M36)</f>
        <v>1751097.6853588372</v>
      </c>
    </row>
    <row r="37" spans="1:14" ht="12.75">
      <c r="A37" s="21">
        <f>Assumptions!$H37</f>
        <v>2050</v>
      </c>
      <c r="B37" s="10">
        <f>IF(A37=Assumptions!$E$12,Assumptions!$E$14*(1-Assumptions!$B$3),G36)</f>
        <v>0</v>
      </c>
      <c r="C37" s="10">
        <f>'Project 5'!I37</f>
        <v>0</v>
      </c>
      <c r="D37" s="10">
        <f>IF(B37&lt;1,0,IF(A37=Assumptions!$E$12,Assumptions!$E$18*Assumptions!$E$22,IF(Assumptions!$F$19="Y",IF(A37&gt;Assumptions!$F$12,Assumptions!$E$24,Assumptions!$E$22),Assumptions!$E$22)))</f>
        <v>0</v>
      </c>
      <c r="E37" s="10">
        <f>D37-F37</f>
        <v>0</v>
      </c>
      <c r="F37" s="10">
        <f>IF(B37=0,0,IF(D37&lt;Assumptions!$E$22,Assumptions!$E$18*Assumptions!$E$15*B37,B37*Assumptions!$E$15))</f>
        <v>0</v>
      </c>
      <c r="G37" s="10">
        <f>B37+C37-E37</f>
        <v>0</v>
      </c>
      <c r="I37" s="10">
        <f>IF(A37=Assumptions!$E$12,-Assumptions!$E$14*Assumptions!$B$3,0)</f>
        <v>0</v>
      </c>
      <c r="J37" s="10">
        <f>IF(Assumptions!$E$19="Y",-I37,0)</f>
        <v>0</v>
      </c>
      <c r="K37" s="10">
        <f>IF($A37-Assumptions!$E$13&lt;0,0,(Assumptions!$E$17*12*Assumptions!$E$16*Assumptions!$B$8)*(1+Assumptions!$B$9)^($A37-Assumptions!$E$13))</f>
        <v>3064420.9493779656</v>
      </c>
      <c r="L37" s="10">
        <f>IF(K37=0,0,-K37*Assumptions!$B$7)</f>
        <v>-1225768.3797511864</v>
      </c>
      <c r="M37" s="10">
        <f>-E37-F37</f>
        <v>0</v>
      </c>
      <c r="N37" s="10">
        <f>SUM(I37:M37)</f>
        <v>1838652.5696267793</v>
      </c>
    </row>
    <row r="38" spans="1:10" ht="12.75">
      <c r="A38" s="22" t="s">
        <v>40</v>
      </c>
      <c r="B38" s="23"/>
      <c r="C38" s="23"/>
      <c r="D38" s="23"/>
      <c r="E38" s="23">
        <f>SUM(E3:E37)</f>
        <v>1599999.9999999998</v>
      </c>
      <c r="F38" s="23">
        <f>SUM(F3:F37)</f>
        <v>1492969.1043364701</v>
      </c>
      <c r="G38" s="23"/>
      <c r="H38" s="23"/>
      <c r="I38" s="23"/>
      <c r="J38" s="23"/>
    </row>
  </sheetData>
  <sheetProtection selectLockedCells="1" selectUnlockedCells="1"/>
  <mergeCells count="2">
    <mergeCell ref="B1:G1"/>
    <mergeCell ref="I1:N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showZeros="0" workbookViewId="0" topLeftCell="A1">
      <pane ySplit="2" topLeftCell="A3" activePane="bottomLeft" state="frozen"/>
      <selection pane="topLeft" activeCell="A1" sqref="A1"/>
      <selection pane="bottomLeft" activeCell="C31" sqref="C31"/>
    </sheetView>
  </sheetViews>
  <sheetFormatPr defaultColWidth="12.57421875" defaultRowHeight="12.75"/>
  <cols>
    <col min="1" max="1" width="7.7109375" style="16" customWidth="1"/>
    <col min="2" max="6" width="10.00390625" style="10" customWidth="1"/>
    <col min="7" max="7" width="0.71875" style="10" customWidth="1"/>
    <col min="8" max="13" width="10.28125" style="10" customWidth="1"/>
    <col min="14" max="16384" width="11.57421875" style="10" customWidth="1"/>
  </cols>
  <sheetData>
    <row r="1" spans="2:13" ht="12.75">
      <c r="B1" s="17" t="s">
        <v>29</v>
      </c>
      <c r="C1" s="17"/>
      <c r="D1" s="17"/>
      <c r="E1" s="17"/>
      <c r="F1" s="17"/>
      <c r="H1" s="17" t="s">
        <v>30</v>
      </c>
      <c r="I1" s="17"/>
      <c r="J1" s="17"/>
      <c r="K1" s="17"/>
      <c r="L1" s="17"/>
      <c r="M1" s="17"/>
    </row>
    <row r="2" spans="1:13" ht="12.75">
      <c r="A2" s="18" t="s">
        <v>4</v>
      </c>
      <c r="B2" s="19" t="s">
        <v>31</v>
      </c>
      <c r="C2" s="20" t="s">
        <v>33</v>
      </c>
      <c r="D2" s="19" t="s">
        <v>34</v>
      </c>
      <c r="E2" s="19" t="s">
        <v>35</v>
      </c>
      <c r="F2" s="19" t="s">
        <v>36</v>
      </c>
      <c r="G2" s="19"/>
      <c r="H2" s="20" t="s">
        <v>6</v>
      </c>
      <c r="I2" s="20" t="s">
        <v>41</v>
      </c>
      <c r="J2" s="19" t="s">
        <v>37</v>
      </c>
      <c r="K2" s="19" t="s">
        <v>38</v>
      </c>
      <c r="L2" s="20" t="s">
        <v>39</v>
      </c>
      <c r="M2" s="20" t="s">
        <v>30</v>
      </c>
    </row>
    <row r="3" spans="1:13" ht="12.75">
      <c r="A3" s="21">
        <f>Assumptions!$H3</f>
        <v>2016</v>
      </c>
      <c r="B3" s="10">
        <f>IF(A3=Assumptions!$F$12,Assumptions!$F$14*(1-Assumptions!$B$3),0)</f>
        <v>0</v>
      </c>
      <c r="C3" s="10">
        <f>IF(B3&lt;1,0,IF(A3=Assumptions!$F$12,Assumptions!$F$18*Assumptions!$F$22,Assumptions!$F$22))</f>
        <v>0</v>
      </c>
      <c r="D3" s="10">
        <f>C3-E3</f>
        <v>0</v>
      </c>
      <c r="E3" s="10">
        <f>IF(B3=0,0,IF(C3&lt;Assumptions!$F$22,Assumptions!$F$18*Assumptions!$F$15*B3,B3*Assumptions!$F$15))</f>
        <v>0</v>
      </c>
      <c r="F3" s="10">
        <f>B3-D3</f>
        <v>0</v>
      </c>
      <c r="H3" s="10">
        <f>IF(A3=Assumptions!$F$12,-Assumptions!$F$14*Assumptions!$B$3,0)</f>
        <v>0</v>
      </c>
      <c r="I3" s="10">
        <f>IF(Assumptions!$F$19="Y",-H3,0)</f>
        <v>0</v>
      </c>
      <c r="J3" s="10">
        <f>IF($A3-Assumptions!$F$13&lt;0,0,(Assumptions!$F$17*12*Assumptions!$F$16*Assumptions!$B$8)*(1+Assumptions!$B$9)^($A3-Assumptions!$F$13))</f>
        <v>0</v>
      </c>
      <c r="K3" s="10">
        <f>IF(J3=0,0,-J3*Assumptions!$B$7)</f>
        <v>0</v>
      </c>
      <c r="L3" s="10">
        <f>-D3-E3</f>
        <v>0</v>
      </c>
      <c r="M3" s="10">
        <f>SUM(H3:L3)</f>
        <v>0</v>
      </c>
    </row>
    <row r="4" spans="1:13" ht="12.75">
      <c r="A4" s="21">
        <f>Assumptions!$H4</f>
        <v>2017</v>
      </c>
      <c r="B4" s="10">
        <f>IF(A4=Assumptions!$F$12,Assumptions!$F$14*(1-Assumptions!$B$3),F3)</f>
        <v>0</v>
      </c>
      <c r="C4" s="10">
        <f>IF(B4&lt;1,0,IF(A4=Assumptions!$F$12,Assumptions!$F$18*Assumptions!$F$22,Assumptions!$F$22))</f>
        <v>0</v>
      </c>
      <c r="D4" s="10">
        <f>C4-E4</f>
        <v>0</v>
      </c>
      <c r="E4" s="10">
        <f>IF(B4=0,0,IF(C4&lt;Assumptions!$F$22,Assumptions!$F$18*Assumptions!$F$15*B4,B4*Assumptions!$F$15))</f>
        <v>0</v>
      </c>
      <c r="F4" s="10">
        <f>B4-D4</f>
        <v>0</v>
      </c>
      <c r="H4" s="10">
        <f>IF(A4=Assumptions!$F$12,-Assumptions!$F$14*Assumptions!$B$3,0)</f>
        <v>0</v>
      </c>
      <c r="I4" s="10">
        <f>IF(Assumptions!$F$19="Y",-H4,0)</f>
        <v>0</v>
      </c>
      <c r="J4" s="10">
        <f>IF($A4-Assumptions!$F$13&lt;0,0,(Assumptions!$F$17*12*Assumptions!$F$16*Assumptions!$B$8)*(1+Assumptions!$B$9)^($A4-Assumptions!$F$13))</f>
        <v>0</v>
      </c>
      <c r="K4" s="10">
        <f>IF(J4=0,0,-J4*Assumptions!$B$7)</f>
        <v>0</v>
      </c>
      <c r="L4" s="10">
        <f>-D4-E4</f>
        <v>0</v>
      </c>
      <c r="M4" s="10">
        <f>SUM(H4:L4)</f>
        <v>0</v>
      </c>
    </row>
    <row r="5" spans="1:13" ht="12.75">
      <c r="A5" s="21">
        <f>Assumptions!$H5</f>
        <v>2018</v>
      </c>
      <c r="B5" s="10">
        <f>IF(A5=Assumptions!$F$12,Assumptions!$F$14*(1-Assumptions!$B$3),F4)</f>
        <v>0</v>
      </c>
      <c r="C5" s="10">
        <f>IF(B5&lt;1,0,IF(A5=Assumptions!$F$12,Assumptions!$F$18*Assumptions!$F$22,Assumptions!$F$22))</f>
        <v>0</v>
      </c>
      <c r="D5" s="10">
        <f>C5-E5</f>
        <v>0</v>
      </c>
      <c r="E5" s="10">
        <f>IF(B5=0,0,IF(C5&lt;Assumptions!$F$22,Assumptions!$F$18*Assumptions!$F$15*B5,B5*Assumptions!$F$15))</f>
        <v>0</v>
      </c>
      <c r="F5" s="10">
        <f>B5-D5</f>
        <v>0</v>
      </c>
      <c r="H5" s="10">
        <f>IF(A5=Assumptions!$F$12,-Assumptions!$F$14*Assumptions!$B$3,0)</f>
        <v>0</v>
      </c>
      <c r="I5" s="10">
        <f>IF(Assumptions!$F$19="Y",-H5,0)</f>
        <v>0</v>
      </c>
      <c r="J5" s="10">
        <f>IF($A5-Assumptions!$F$13&lt;0,0,(Assumptions!$F$17*12*Assumptions!$F$16*Assumptions!$B$8)*(1+Assumptions!$B$9)^($A5-Assumptions!$F$13))</f>
        <v>0</v>
      </c>
      <c r="K5" s="10">
        <f>IF(J5=0,0,-J5*Assumptions!$B$7)</f>
        <v>0</v>
      </c>
      <c r="L5" s="10">
        <f>-D5-E5</f>
        <v>0</v>
      </c>
      <c r="M5" s="10">
        <f>SUM(H5:L5)</f>
        <v>0</v>
      </c>
    </row>
    <row r="6" spans="1:13" ht="12.75">
      <c r="A6" s="21">
        <f>Assumptions!$H6</f>
        <v>2019</v>
      </c>
      <c r="B6" s="10">
        <f>IF(A6=Assumptions!$F$12,Assumptions!$F$14*(1-Assumptions!$B$3),F5)</f>
        <v>0</v>
      </c>
      <c r="C6" s="10">
        <f>IF(B6&lt;1,0,IF(A6=Assumptions!$F$12,Assumptions!$F$18*Assumptions!$F$22,Assumptions!$F$22))</f>
        <v>0</v>
      </c>
      <c r="D6" s="10">
        <f>C6-E6</f>
        <v>0</v>
      </c>
      <c r="E6" s="10">
        <f>IF(B6=0,0,IF(C6&lt;Assumptions!$F$22,Assumptions!$F$18*Assumptions!$F$15*B6,B6*Assumptions!$F$15))</f>
        <v>0</v>
      </c>
      <c r="F6" s="10">
        <f>B6-D6</f>
        <v>0</v>
      </c>
      <c r="H6" s="10">
        <f>IF(A6=Assumptions!$F$12,-Assumptions!$F$14*Assumptions!$B$3,0)</f>
        <v>0</v>
      </c>
      <c r="I6" s="10">
        <f>IF(Assumptions!$F$19="Y",-H6,0)</f>
        <v>0</v>
      </c>
      <c r="J6" s="10">
        <f>IF($A6-Assumptions!$F$13&lt;0,0,(Assumptions!$F$17*12*Assumptions!$F$16*Assumptions!$B$8)*(1+Assumptions!$B$9)^($A6-Assumptions!$F$13))</f>
        <v>0</v>
      </c>
      <c r="K6" s="10">
        <f>IF(J6=0,0,-J6*Assumptions!$B$7)</f>
        <v>0</v>
      </c>
      <c r="L6" s="10">
        <f>-D6-E6</f>
        <v>0</v>
      </c>
      <c r="M6" s="10">
        <f>SUM(H6:L6)</f>
        <v>0</v>
      </c>
    </row>
    <row r="7" spans="1:13" ht="12.75">
      <c r="A7" s="21">
        <f>Assumptions!$H7</f>
        <v>2020</v>
      </c>
      <c r="B7" s="10">
        <f>IF(A7=Assumptions!$F$12,Assumptions!$F$14*(1-Assumptions!$B$3),F6)</f>
        <v>0</v>
      </c>
      <c r="C7" s="10">
        <f>IF(B7&lt;1,0,IF(A7=Assumptions!$F$12,Assumptions!$F$18*Assumptions!$F$22,Assumptions!$F$22))</f>
        <v>0</v>
      </c>
      <c r="D7" s="10">
        <f>C7-E7</f>
        <v>0</v>
      </c>
      <c r="E7" s="10">
        <f>IF(B7=0,0,IF(C7&lt;Assumptions!$F$22,Assumptions!$F$18*Assumptions!$F$15*B7,B7*Assumptions!$F$15))</f>
        <v>0</v>
      </c>
      <c r="F7" s="10">
        <f>B7-D7</f>
        <v>0</v>
      </c>
      <c r="H7" s="10">
        <f>IF(A7=Assumptions!$F$12,-Assumptions!$F$14*Assumptions!$B$3,0)</f>
        <v>0</v>
      </c>
      <c r="I7" s="10">
        <f>IF(Assumptions!$F$19="Y",-H7,0)</f>
        <v>0</v>
      </c>
      <c r="J7" s="10">
        <f>IF($A7-Assumptions!$F$13&lt;0,0,(Assumptions!$F$17*12*Assumptions!$F$16*Assumptions!$B$8)*(1+Assumptions!$B$9)^($A7-Assumptions!$F$13))</f>
        <v>0</v>
      </c>
      <c r="K7" s="10">
        <f>IF(J7=0,0,-J7*Assumptions!$B$7)</f>
        <v>0</v>
      </c>
      <c r="L7" s="10">
        <f>-D7-E7</f>
        <v>0</v>
      </c>
      <c r="M7" s="10">
        <f>SUM(H7:L7)</f>
        <v>0</v>
      </c>
    </row>
    <row r="8" spans="1:13" ht="12.75">
      <c r="A8" s="21">
        <f>Assumptions!$H8</f>
        <v>2021</v>
      </c>
      <c r="B8" s="10">
        <f>IF(A8=Assumptions!$F$12,Assumptions!$F$14*(1-Assumptions!$B$3),F7)</f>
        <v>0</v>
      </c>
      <c r="C8" s="10">
        <f>IF(B8&lt;1,0,IF(A8=Assumptions!$F$12,Assumptions!$F$18*Assumptions!$F$22,Assumptions!$F$22))</f>
        <v>0</v>
      </c>
      <c r="D8" s="10">
        <f>C8-E8</f>
        <v>0</v>
      </c>
      <c r="E8" s="10">
        <f>IF(B8=0,0,IF(C8&lt;Assumptions!$F$22,Assumptions!$F$18*Assumptions!$F$15*B8,B8*Assumptions!$F$15))</f>
        <v>0</v>
      </c>
      <c r="F8" s="10">
        <f>B8-D8</f>
        <v>0</v>
      </c>
      <c r="H8" s="10">
        <f>IF(A8=Assumptions!$F$12,-Assumptions!$F$14*Assumptions!$B$3,0)</f>
        <v>0</v>
      </c>
      <c r="I8" s="10">
        <f>IF(Assumptions!$F$19="Y",-H8,0)</f>
        <v>0</v>
      </c>
      <c r="J8" s="10">
        <f>IF($A8-Assumptions!$F$13&lt;0,0,(Assumptions!$F$17*12*Assumptions!$F$16*Assumptions!$B$8)*(1+Assumptions!$B$9)^($A8-Assumptions!$F$13))</f>
        <v>0</v>
      </c>
      <c r="K8" s="10">
        <f>IF(J8=0,0,-J8*Assumptions!$B$7)</f>
        <v>0</v>
      </c>
      <c r="L8" s="10">
        <f>-D8-E8</f>
        <v>0</v>
      </c>
      <c r="M8" s="10">
        <f>SUM(H8:L8)</f>
        <v>0</v>
      </c>
    </row>
    <row r="9" spans="1:13" ht="12.75">
      <c r="A9" s="21">
        <f>Assumptions!$H9</f>
        <v>2022</v>
      </c>
      <c r="B9" s="10">
        <f>IF(A9=Assumptions!$F$12,Assumptions!$F$14*(1-Assumptions!$B$3),F8)</f>
        <v>0</v>
      </c>
      <c r="C9" s="10">
        <f>IF(B9&lt;1,0,IF(A9=Assumptions!$F$12,Assumptions!$F$18*Assumptions!$F$22,Assumptions!$F$22))</f>
        <v>0</v>
      </c>
      <c r="D9" s="10">
        <f>C9-E9</f>
        <v>0</v>
      </c>
      <c r="E9" s="10">
        <f>IF(B9=0,0,IF(C9&lt;Assumptions!$F$22,Assumptions!$F$18*Assumptions!$F$15*B9,B9*Assumptions!$F$15))</f>
        <v>0</v>
      </c>
      <c r="F9" s="10">
        <f>B9-D9</f>
        <v>0</v>
      </c>
      <c r="H9" s="10">
        <f>IF(A9=Assumptions!$F$12,-Assumptions!$F$14*Assumptions!$B$3,0)</f>
        <v>0</v>
      </c>
      <c r="I9" s="10">
        <f>IF(Assumptions!$F$19="Y",-H9,0)</f>
        <v>0</v>
      </c>
      <c r="J9" s="10">
        <f>IF($A9-Assumptions!$F$13&lt;0,0,(Assumptions!$F$17*12*Assumptions!$F$16*Assumptions!$B$8)*(1+Assumptions!$B$9)^($A9-Assumptions!$F$13))</f>
        <v>0</v>
      </c>
      <c r="K9" s="10">
        <f>IF(J9=0,0,-J9*Assumptions!$B$7)</f>
        <v>0</v>
      </c>
      <c r="L9" s="10">
        <f>-D9-E9</f>
        <v>0</v>
      </c>
      <c r="M9" s="10">
        <f>SUM(H9:L9)</f>
        <v>0</v>
      </c>
    </row>
    <row r="10" spans="1:13" ht="12.75">
      <c r="A10" s="21">
        <f>Assumptions!$H10</f>
        <v>2023</v>
      </c>
      <c r="B10" s="10">
        <f>IF(A10=Assumptions!$F$12,Assumptions!$F$14*(1-Assumptions!$B$3),F9)</f>
        <v>0</v>
      </c>
      <c r="C10" s="10">
        <f>IF(B10&lt;1,0,IF(A10=Assumptions!$F$12,Assumptions!$F$18*Assumptions!$F$22,Assumptions!$F$22))</f>
        <v>0</v>
      </c>
      <c r="D10" s="10">
        <f>C10-E10</f>
        <v>0</v>
      </c>
      <c r="E10" s="10">
        <f>IF(B10=0,0,IF(C10&lt;Assumptions!$F$22,Assumptions!$F$18*Assumptions!$F$15*B10,B10*Assumptions!$F$15))</f>
        <v>0</v>
      </c>
      <c r="F10" s="10">
        <f>B10-D10</f>
        <v>0</v>
      </c>
      <c r="H10" s="10">
        <f>IF(A10=Assumptions!$F$12,-Assumptions!$F$14*Assumptions!$B$3,0)</f>
        <v>0</v>
      </c>
      <c r="I10" s="10">
        <f>IF(Assumptions!$F$19="Y",-H10,0)</f>
        <v>0</v>
      </c>
      <c r="J10" s="10">
        <f>IF($A10-Assumptions!$F$13&lt;0,0,(Assumptions!$F$17*12*Assumptions!$F$16*Assumptions!$B$8)*(1+Assumptions!$B$9)^($A10-Assumptions!$F$13))</f>
        <v>0</v>
      </c>
      <c r="K10" s="10">
        <f>IF(J10=0,0,-J10*Assumptions!$B$7)</f>
        <v>0</v>
      </c>
      <c r="L10" s="10">
        <f>-D10-E10</f>
        <v>0</v>
      </c>
      <c r="M10" s="10">
        <f>SUM(H10:L10)</f>
        <v>0</v>
      </c>
    </row>
    <row r="11" spans="1:13" ht="12.75">
      <c r="A11" s="21">
        <f>Assumptions!$H11</f>
        <v>2024</v>
      </c>
      <c r="B11" s="10">
        <f>IF(A11=Assumptions!$F$12,Assumptions!$F$14*(1-Assumptions!$B$3),F10)</f>
        <v>1600000</v>
      </c>
      <c r="C11" s="10">
        <f>IF(B11&lt;1,0,IF(A11=Assumptions!$F$12,Assumptions!$F$18*Assumptions!$F$22,Assumptions!$F$22))</f>
        <v>156947.50661173023</v>
      </c>
      <c r="D11" s="10">
        <f>C11-E11</f>
        <v>36947.506611730234</v>
      </c>
      <c r="E11" s="10">
        <f>IF(B11=0,0,IF(C11&lt;Assumptions!$F$22,Assumptions!$F$18*Assumptions!$F$15*B11,B11*Assumptions!$F$15))</f>
        <v>120000</v>
      </c>
      <c r="F11" s="10">
        <f>B11-D11</f>
        <v>1563052.4933882698</v>
      </c>
      <c r="H11" s="10">
        <f>IF(A11=Assumptions!$F$12,-Assumptions!$F$14*Assumptions!$B$3,0)</f>
        <v>-400000</v>
      </c>
      <c r="I11" s="10">
        <f>IF(Assumptions!$F$19="Y",-H11,0)</f>
        <v>400000</v>
      </c>
      <c r="J11" s="10">
        <f>IF($A11-Assumptions!$F$13&lt;0,0,(Assumptions!$F$17*12*Assumptions!$F$16*Assumptions!$B$8)*(1+Assumptions!$B$9)^($A11-Assumptions!$F$13))</f>
        <v>0</v>
      </c>
      <c r="K11" s="10">
        <f>IF(J11=0,0,-J11*Assumptions!$B$7)</f>
        <v>0</v>
      </c>
      <c r="L11" s="10">
        <f>-D11-E11</f>
        <v>-156947.50661173023</v>
      </c>
      <c r="M11" s="10">
        <f>SUM(H11:L11)</f>
        <v>-156947.50661173023</v>
      </c>
    </row>
    <row r="12" spans="1:13" ht="12.75">
      <c r="A12" s="21">
        <f>Assumptions!$H12</f>
        <v>2025</v>
      </c>
      <c r="B12" s="10">
        <f>IF(A12=Assumptions!$F$12,Assumptions!$F$14*(1-Assumptions!$B$3),F11)</f>
        <v>1563052.4933882698</v>
      </c>
      <c r="C12" s="10">
        <f>IF(B12&lt;1,0,IF(A12=Assumptions!$F$12,Assumptions!$F$18*Assumptions!$F$22,Assumptions!$F$22))</f>
        <v>156947.50661173023</v>
      </c>
      <c r="D12" s="10">
        <f>C12-E12</f>
        <v>39718.56960761</v>
      </c>
      <c r="E12" s="10">
        <f>IF(B12=0,0,IF(C12&lt;Assumptions!$F$22,Assumptions!$F$18*Assumptions!$F$15*B12,B12*Assumptions!$F$15))</f>
        <v>117228.93700412023</v>
      </c>
      <c r="F12" s="10">
        <f>B12-D12</f>
        <v>1523333.9237806597</v>
      </c>
      <c r="H12" s="10">
        <f>IF(A12=Assumptions!$F$12,-Assumptions!$F$14*Assumptions!$B$3,0)</f>
        <v>0</v>
      </c>
      <c r="I12" s="10">
        <f>IF(Assumptions!$F$19="Y",-H12,0)</f>
        <v>0</v>
      </c>
      <c r="J12" s="10">
        <f>IF($A12-Assumptions!$F$13&lt;0,0,(Assumptions!$F$17*12*Assumptions!$F$16*Assumptions!$B$8)*(1+Assumptions!$B$9)^($A12-Assumptions!$F$13))</f>
        <v>1824000.0000000002</v>
      </c>
      <c r="K12" s="10">
        <f>IF(J12=0,0,-J12*Assumptions!$B$7)</f>
        <v>-729600.0000000001</v>
      </c>
      <c r="L12" s="10">
        <f>-D12-E12</f>
        <v>-156947.50661173023</v>
      </c>
      <c r="M12" s="10">
        <f>SUM(H12:L12)</f>
        <v>937452.4933882699</v>
      </c>
    </row>
    <row r="13" spans="1:13" ht="12.75">
      <c r="A13" s="21">
        <f>Assumptions!$H13</f>
        <v>2026</v>
      </c>
      <c r="B13" s="10">
        <f>IF(A13=Assumptions!$F$12,Assumptions!$F$14*(1-Assumptions!$B$3),F12)</f>
        <v>1523333.9237806597</v>
      </c>
      <c r="C13" s="10">
        <f>IF(B13&lt;1,0,IF(A13=Assumptions!$F$12,Assumptions!$F$18*Assumptions!$F$22,Assumptions!$F$22))</f>
        <v>156947.50661173023</v>
      </c>
      <c r="D13" s="10">
        <f>C13-E13</f>
        <v>42697.46232818076</v>
      </c>
      <c r="E13" s="10">
        <f>IF(B13=0,0,IF(C13&lt;Assumptions!$F$22,Assumptions!$F$18*Assumptions!$F$15*B13,B13*Assumptions!$F$15))</f>
        <v>114250.04428354948</v>
      </c>
      <c r="F13" s="10">
        <f>B13-D13</f>
        <v>1480636.461452479</v>
      </c>
      <c r="H13" s="10">
        <f>IF(A13=Assumptions!$F$12,-Assumptions!$F$14*Assumptions!$B$3,0)</f>
        <v>0</v>
      </c>
      <c r="I13" s="10">
        <f>IF(Assumptions!$F$19="Y",-H13,0)</f>
        <v>0</v>
      </c>
      <c r="J13" s="10">
        <f>IF($A13-Assumptions!$F$13&lt;0,0,(Assumptions!$F$17*12*Assumptions!$F$16*Assumptions!$B$8)*(1+Assumptions!$B$9)^($A13-Assumptions!$F$13))</f>
        <v>1915200.0000000002</v>
      </c>
      <c r="K13" s="10">
        <f>IF(J13=0,0,-J13*Assumptions!$B$7)</f>
        <v>-766080.0000000001</v>
      </c>
      <c r="L13" s="10">
        <f>-D13-E13</f>
        <v>-156947.50661173023</v>
      </c>
      <c r="M13" s="10">
        <f>SUM(H13:L13)</f>
        <v>992172.4933882699</v>
      </c>
    </row>
    <row r="14" spans="1:13" ht="12.75">
      <c r="A14" s="21">
        <f>Assumptions!$H14</f>
        <v>2027</v>
      </c>
      <c r="B14" s="10">
        <f>IF(A14=Assumptions!$F$12,Assumptions!$F$14*(1-Assumptions!$B$3),F13)</f>
        <v>1480636.461452479</v>
      </c>
      <c r="C14" s="10">
        <f>IF(B14&lt;1,0,IF(A14=Assumptions!$F$12,Assumptions!$F$18*Assumptions!$F$22,Assumptions!$F$22))</f>
        <v>156947.50661173023</v>
      </c>
      <c r="D14" s="10">
        <f>C14-E14</f>
        <v>45899.772002794314</v>
      </c>
      <c r="E14" s="10">
        <f>IF(B14=0,0,IF(C14&lt;Assumptions!$F$22,Assumptions!$F$18*Assumptions!$F$15*B14,B14*Assumptions!$F$15))</f>
        <v>111047.73460893592</v>
      </c>
      <c r="F14" s="10">
        <f>B14-D14</f>
        <v>1434736.6894496847</v>
      </c>
      <c r="H14" s="10">
        <f>IF(A14=Assumptions!$F$12,-Assumptions!$F$14*Assumptions!$B$3,0)</f>
        <v>0</v>
      </c>
      <c r="I14" s="10">
        <f>IF(Assumptions!$F$19="Y",-H14,0)</f>
        <v>0</v>
      </c>
      <c r="J14" s="10">
        <f>IF($A14-Assumptions!$F$13&lt;0,0,(Assumptions!$F$17*12*Assumptions!$F$16*Assumptions!$B$8)*(1+Assumptions!$B$9)^($A14-Assumptions!$F$13))</f>
        <v>2010960.0000000002</v>
      </c>
      <c r="K14" s="10">
        <f>IF(J14=0,0,-J14*Assumptions!$B$7)</f>
        <v>-804384.0000000001</v>
      </c>
      <c r="L14" s="10">
        <f>-D14-E14</f>
        <v>-156947.50661173023</v>
      </c>
      <c r="M14" s="10">
        <f>SUM(H14:L14)</f>
        <v>1049628.49338827</v>
      </c>
    </row>
    <row r="15" spans="1:13" ht="12.75">
      <c r="A15" s="21">
        <f>Assumptions!$H15</f>
        <v>2028</v>
      </c>
      <c r="B15" s="10">
        <f>IF(A15=Assumptions!$F$12,Assumptions!$F$14*(1-Assumptions!$B$3),F14)</f>
        <v>1434736.6894496847</v>
      </c>
      <c r="C15" s="10">
        <f>IF(B15&lt;1,0,IF(A15=Assumptions!$F$12,Assumptions!$F$18*Assumptions!$F$22,Assumptions!$F$22))</f>
        <v>156947.50661173023</v>
      </c>
      <c r="D15" s="10">
        <f>C15-E15</f>
        <v>49342.25490300388</v>
      </c>
      <c r="E15" s="10">
        <f>IF(B15=0,0,IF(C15&lt;Assumptions!$F$22,Assumptions!$F$18*Assumptions!$F$15*B15,B15*Assumptions!$F$15))</f>
        <v>107605.25170872635</v>
      </c>
      <c r="F15" s="10">
        <f>B15-D15</f>
        <v>1385394.434546681</v>
      </c>
      <c r="H15" s="10">
        <f>IF(A15=Assumptions!$F$12,-Assumptions!$F$14*Assumptions!$B$3,0)</f>
        <v>0</v>
      </c>
      <c r="I15" s="10">
        <f>IF(Assumptions!$F$19="Y",-H15,0)</f>
        <v>0</v>
      </c>
      <c r="J15" s="10">
        <f>IF($A15-Assumptions!$F$13&lt;0,0,(Assumptions!$F$17*12*Assumptions!$F$16*Assumptions!$B$8)*(1+Assumptions!$B$9)^($A15-Assumptions!$F$13))</f>
        <v>2111508.0000000005</v>
      </c>
      <c r="K15" s="10">
        <f>IF(J15=0,0,-J15*Assumptions!$B$7)</f>
        <v>-844603.2000000002</v>
      </c>
      <c r="L15" s="10">
        <f>-D15-E15</f>
        <v>-156947.50661173023</v>
      </c>
      <c r="M15" s="10">
        <f>SUM(H15:L15)</f>
        <v>1109957.29338827</v>
      </c>
    </row>
    <row r="16" spans="1:13" ht="12.75">
      <c r="A16" s="21">
        <f>Assumptions!$H16</f>
        <v>2029</v>
      </c>
      <c r="B16" s="10">
        <f>IF(A16=Assumptions!$F$12,Assumptions!$F$14*(1-Assumptions!$B$3),F15)</f>
        <v>1385394.434546681</v>
      </c>
      <c r="C16" s="10">
        <f>IF(B16&lt;1,0,IF(A16=Assumptions!$F$12,Assumptions!$F$18*Assumptions!$F$22,Assumptions!$F$22))</f>
        <v>156947.50661173023</v>
      </c>
      <c r="D16" s="10">
        <f>C16-E16</f>
        <v>53042.92402072917</v>
      </c>
      <c r="E16" s="10">
        <f>IF(B16=0,0,IF(C16&lt;Assumptions!$F$22,Assumptions!$F$18*Assumptions!$F$15*B16,B16*Assumptions!$F$15))</f>
        <v>103904.58259100106</v>
      </c>
      <c r="F16" s="10">
        <f>B16-D16</f>
        <v>1332351.5105259516</v>
      </c>
      <c r="H16" s="10">
        <f>IF(A16=Assumptions!$F$12,-Assumptions!$F$14*Assumptions!$B$3,0)</f>
        <v>0</v>
      </c>
      <c r="I16" s="10">
        <f>IF(Assumptions!$F$19="Y",-H16,0)</f>
        <v>0</v>
      </c>
      <c r="J16" s="10">
        <f>IF($A16-Assumptions!$F$13&lt;0,0,(Assumptions!$F$17*12*Assumptions!$F$16*Assumptions!$B$8)*(1+Assumptions!$B$9)^($A16-Assumptions!$F$13))</f>
        <v>2217083.400000001</v>
      </c>
      <c r="K16" s="10">
        <f>IF(J16=0,0,-J16*Assumptions!$B$7)</f>
        <v>-886833.3600000003</v>
      </c>
      <c r="L16" s="10">
        <f>-D16-E16</f>
        <v>-156947.50661173023</v>
      </c>
      <c r="M16" s="10">
        <f>SUM(H16:L16)</f>
        <v>1173302.5333882703</v>
      </c>
    </row>
    <row r="17" spans="1:13" ht="12.75">
      <c r="A17" s="21">
        <f>Assumptions!$H17</f>
        <v>2030</v>
      </c>
      <c r="B17" s="10">
        <f>IF(A17=Assumptions!$F$12,Assumptions!$F$14*(1-Assumptions!$B$3),F16)</f>
        <v>1332351.5105259516</v>
      </c>
      <c r="C17" s="10">
        <f>IF(B17&lt;1,0,IF(A17=Assumptions!$F$12,Assumptions!$F$18*Assumptions!$F$22,Assumptions!$F$22))</f>
        <v>156947.50661173023</v>
      </c>
      <c r="D17" s="10">
        <f>C17-E17</f>
        <v>57021.14332228387</v>
      </c>
      <c r="E17" s="10">
        <f>IF(B17=0,0,IF(C17&lt;Assumptions!$F$22,Assumptions!$F$18*Assumptions!$F$15*B17,B17*Assumptions!$F$15))</f>
        <v>99926.36328944637</v>
      </c>
      <c r="F17" s="10">
        <f>B17-D17</f>
        <v>1275330.3672036678</v>
      </c>
      <c r="H17" s="10">
        <f>IF(A17=Assumptions!$F$12,-Assumptions!$F$14*Assumptions!$B$3,0)</f>
        <v>0</v>
      </c>
      <c r="I17" s="10">
        <f>IF(Assumptions!$F$19="Y",-H17,0)</f>
        <v>0</v>
      </c>
      <c r="J17" s="10">
        <f>IF($A17-Assumptions!$F$13&lt;0,0,(Assumptions!$F$17*12*Assumptions!$F$16*Assumptions!$B$8)*(1+Assumptions!$B$9)^($A17-Assumptions!$F$13))</f>
        <v>2327937.5700000008</v>
      </c>
      <c r="K17" s="10">
        <f>IF(J17=0,0,-J17*Assumptions!$B$7)</f>
        <v>-931175.0280000004</v>
      </c>
      <c r="L17" s="10">
        <f>-D17-E17</f>
        <v>-156947.50661173023</v>
      </c>
      <c r="M17" s="10">
        <f>SUM(H17:L17)</f>
        <v>1239815.0353882702</v>
      </c>
    </row>
    <row r="18" spans="1:13" ht="12.75">
      <c r="A18" s="21">
        <f>Assumptions!$H18</f>
        <v>2031</v>
      </c>
      <c r="B18" s="10">
        <f>IF(A18=Assumptions!$F$12,Assumptions!$F$14*(1-Assumptions!$B$3),F17)</f>
        <v>1275330.3672036678</v>
      </c>
      <c r="C18" s="10">
        <f>IF(B18&lt;1,0,IF(A18=Assumptions!$F$12,Assumptions!$F$18*Assumptions!$F$22,Assumptions!$F$22))</f>
        <v>156947.50661173023</v>
      </c>
      <c r="D18" s="10">
        <f>C18-E18</f>
        <v>61297.72907145515</v>
      </c>
      <c r="E18" s="10">
        <f>IF(B18=0,0,IF(C18&lt;Assumptions!$F$22,Assumptions!$F$18*Assumptions!$F$15*B18,B18*Assumptions!$F$15))</f>
        <v>95649.77754027508</v>
      </c>
      <c r="F18" s="10">
        <f>B18-D18</f>
        <v>1214032.6381322127</v>
      </c>
      <c r="H18" s="10">
        <f>IF(A18=Assumptions!$F$12,-Assumptions!$F$14*Assumptions!$B$3,0)</f>
        <v>0</v>
      </c>
      <c r="I18" s="10">
        <f>IF(Assumptions!$F$19="Y",-H18,0)</f>
        <v>0</v>
      </c>
      <c r="J18" s="10">
        <f>IF($A18-Assumptions!$F$13&lt;0,0,(Assumptions!$F$17*12*Assumptions!$F$16*Assumptions!$B$8)*(1+Assumptions!$B$9)^($A18-Assumptions!$F$13))</f>
        <v>2444334.448500001</v>
      </c>
      <c r="K18" s="10">
        <f>IF(J18=0,0,-J18*Assumptions!$B$7)</f>
        <v>-977733.7794000003</v>
      </c>
      <c r="L18" s="10">
        <f>-D18-E18</f>
        <v>-156947.50661173023</v>
      </c>
      <c r="M18" s="10">
        <f>SUM(H18:L18)</f>
        <v>1309653.1624882703</v>
      </c>
    </row>
    <row r="19" spans="1:13" ht="12.75">
      <c r="A19" s="21">
        <f>Assumptions!$H19</f>
        <v>2032</v>
      </c>
      <c r="B19" s="10">
        <f>IF(A19=Assumptions!$F$12,Assumptions!$F$14*(1-Assumptions!$B$3),F18)</f>
        <v>1214032.6381322127</v>
      </c>
      <c r="C19" s="10">
        <f>IF(B19&lt;1,0,IF(A19=Assumptions!$F$12,Assumptions!$F$18*Assumptions!$F$22,Assumptions!$F$22))</f>
        <v>156947.50661173023</v>
      </c>
      <c r="D19" s="10">
        <f>C19-E19</f>
        <v>65895.05875181429</v>
      </c>
      <c r="E19" s="10">
        <f>IF(B19=0,0,IF(C19&lt;Assumptions!$F$22,Assumptions!$F$18*Assumptions!$F$15*B19,B19*Assumptions!$F$15))</f>
        <v>91052.44785991595</v>
      </c>
      <c r="F19" s="10">
        <f>B19-D19</f>
        <v>1148137.5793803984</v>
      </c>
      <c r="H19" s="10">
        <f>IF(A19=Assumptions!$F$12,-Assumptions!$F$14*Assumptions!$B$3,0)</f>
        <v>0</v>
      </c>
      <c r="I19" s="10">
        <f>IF(Assumptions!$F$19="Y",-H19,0)</f>
        <v>0</v>
      </c>
      <c r="J19" s="10">
        <f>IF($A19-Assumptions!$F$13&lt;0,0,(Assumptions!$F$17*12*Assumptions!$F$16*Assumptions!$B$8)*(1+Assumptions!$B$9)^($A19-Assumptions!$F$13))</f>
        <v>2566551.170925001</v>
      </c>
      <c r="K19" s="10">
        <f>IF(J19=0,0,-J19*Assumptions!$B$7)</f>
        <v>-1026620.4683700005</v>
      </c>
      <c r="L19" s="10">
        <f>-D19-E19</f>
        <v>-156947.50661173023</v>
      </c>
      <c r="M19" s="10">
        <f>SUM(H19:L19)</f>
        <v>1382983.1959432703</v>
      </c>
    </row>
    <row r="20" spans="1:13" ht="12.75">
      <c r="A20" s="21">
        <f>Assumptions!$H20</f>
        <v>2033</v>
      </c>
      <c r="B20" s="10">
        <f>IF(A20=Assumptions!$F$12,Assumptions!$F$14*(1-Assumptions!$B$3),F19)</f>
        <v>1148137.5793803984</v>
      </c>
      <c r="C20" s="10">
        <f>IF(B20&lt;1,0,IF(A20=Assumptions!$F$12,Assumptions!$F$18*Assumptions!$F$22,Assumptions!$F$22))</f>
        <v>156947.50661173023</v>
      </c>
      <c r="D20" s="10">
        <f>C20-E20</f>
        <v>70837.18815820036</v>
      </c>
      <c r="E20" s="10">
        <f>IF(B20=0,0,IF(C20&lt;Assumptions!$F$22,Assumptions!$F$18*Assumptions!$F$15*B20,B20*Assumptions!$F$15))</f>
        <v>86110.31845352988</v>
      </c>
      <c r="F20" s="10">
        <f>B20-D20</f>
        <v>1077300.391222198</v>
      </c>
      <c r="H20" s="10">
        <f>IF(A20=Assumptions!$F$12,-Assumptions!$F$14*Assumptions!$B$3,0)</f>
        <v>0</v>
      </c>
      <c r="I20" s="10">
        <f>IF(Assumptions!$F$19="Y",-H20,0)</f>
        <v>0</v>
      </c>
      <c r="J20" s="10">
        <f>IF($A20-Assumptions!$F$13&lt;0,0,(Assumptions!$F$17*12*Assumptions!$F$16*Assumptions!$B$8)*(1+Assumptions!$B$9)^($A20-Assumptions!$F$13))</f>
        <v>2694878.7294712514</v>
      </c>
      <c r="K20" s="10">
        <f>IF(J20=0,0,-J20*Assumptions!$B$7)</f>
        <v>-1077951.4917885007</v>
      </c>
      <c r="L20" s="10">
        <f>-D20-E20</f>
        <v>-156947.50661173023</v>
      </c>
      <c r="M20" s="10">
        <f>SUM(H20:L20)</f>
        <v>1459979.7310710205</v>
      </c>
    </row>
    <row r="21" spans="1:13" ht="12.75">
      <c r="A21" s="21">
        <f>Assumptions!$H21</f>
        <v>2034</v>
      </c>
      <c r="B21" s="10">
        <f>IF(A21=Assumptions!$F$12,Assumptions!$F$14*(1-Assumptions!$B$3),F20)</f>
        <v>1077300.391222198</v>
      </c>
      <c r="C21" s="10">
        <f>IF(B21&lt;1,0,IF(A21=Assumptions!$F$12,Assumptions!$F$18*Assumptions!$F$22,Assumptions!$F$22))</f>
        <v>156947.50661173023</v>
      </c>
      <c r="D21" s="10">
        <f>C21-E21</f>
        <v>76149.97727006538</v>
      </c>
      <c r="E21" s="10">
        <f>IF(B21=0,0,IF(C21&lt;Assumptions!$F$22,Assumptions!$F$18*Assumptions!$F$15*B21,B21*Assumptions!$F$15))</f>
        <v>80797.52934166485</v>
      </c>
      <c r="F21" s="10">
        <f>B21-D21</f>
        <v>1001150.4139521327</v>
      </c>
      <c r="H21" s="10">
        <f>IF(A21=Assumptions!$F$12,-Assumptions!$F$14*Assumptions!$B$3,0)</f>
        <v>0</v>
      </c>
      <c r="I21" s="10">
        <f>IF(Assumptions!$F$19="Y",-H21,0)</f>
        <v>0</v>
      </c>
      <c r="J21" s="10">
        <f>IF($A21-Assumptions!$F$13&lt;0,0,(Assumptions!$F$17*12*Assumptions!$F$16*Assumptions!$B$8)*(1+Assumptions!$B$9)^($A21-Assumptions!$F$13))</f>
        <v>2829622.6659448138</v>
      </c>
      <c r="K21" s="10">
        <f>IF(J21=0,0,-J21*Assumptions!$B$7)</f>
        <v>-1131849.0663779255</v>
      </c>
      <c r="L21" s="10">
        <f>-D21-E21</f>
        <v>-156947.50661173023</v>
      </c>
      <c r="M21" s="10">
        <f>SUM(H21:L21)</f>
        <v>1540826.092955158</v>
      </c>
    </row>
    <row r="22" spans="1:13" ht="12.75">
      <c r="A22" s="21">
        <f>Assumptions!$H22</f>
        <v>2035</v>
      </c>
      <c r="B22" s="10">
        <f>IF(A22=Assumptions!$F$12,Assumptions!$F$14*(1-Assumptions!$B$3),F21)</f>
        <v>1001150.4139521327</v>
      </c>
      <c r="C22" s="10">
        <f>IF(B22&lt;1,0,IF(A22=Assumptions!$F$12,Assumptions!$F$18*Assumptions!$F$22,Assumptions!$F$22))</f>
        <v>156947.50661173023</v>
      </c>
      <c r="D22" s="10">
        <f>C22-E22</f>
        <v>81861.22556532029</v>
      </c>
      <c r="E22" s="10">
        <f>IF(B22=0,0,IF(C22&lt;Assumptions!$F$22,Assumptions!$F$18*Assumptions!$F$15*B22,B22*Assumptions!$F$15))</f>
        <v>75086.28104640995</v>
      </c>
      <c r="F22" s="10">
        <f>B22-D22</f>
        <v>919289.1883868123</v>
      </c>
      <c r="H22" s="10">
        <f>IF(A22=Assumptions!$F$12,-Assumptions!$F$14*Assumptions!$B$3,0)</f>
        <v>0</v>
      </c>
      <c r="I22" s="10">
        <f>IF(Assumptions!$F$19="Y",-H22,0)</f>
        <v>0</v>
      </c>
      <c r="J22" s="10">
        <f>IF($A22-Assumptions!$F$13&lt;0,0,(Assumptions!$F$17*12*Assumptions!$F$16*Assumptions!$B$8)*(1+Assumptions!$B$9)^($A22-Assumptions!$F$13))</f>
        <v>2971103.7992420546</v>
      </c>
      <c r="K22" s="10">
        <f>IF(J22=0,0,-J22*Assumptions!$B$7)</f>
        <v>-1188441.519696822</v>
      </c>
      <c r="L22" s="10">
        <f>-D22-E22</f>
        <v>-156947.50661173023</v>
      </c>
      <c r="M22" s="10">
        <f>SUM(H22:L22)</f>
        <v>1625714.7729335024</v>
      </c>
    </row>
    <row r="23" spans="1:13" ht="12.75">
      <c r="A23" s="21">
        <f>Assumptions!$H23</f>
        <v>2036</v>
      </c>
      <c r="B23" s="10">
        <f>IF(A23=Assumptions!$F$12,Assumptions!$F$14*(1-Assumptions!$B$3),F22)</f>
        <v>919289.1883868123</v>
      </c>
      <c r="C23" s="10">
        <f>IF(B23&lt;1,0,IF(A23=Assumptions!$F$12,Assumptions!$F$18*Assumptions!$F$22,Assumptions!$F$22))</f>
        <v>156947.50661173023</v>
      </c>
      <c r="D23" s="10">
        <f>C23-E23</f>
        <v>88000.81748271931</v>
      </c>
      <c r="E23" s="10">
        <f>IF(B23=0,0,IF(C23&lt;Assumptions!$F$22,Assumptions!$F$18*Assumptions!$F$15*B23,B23*Assumptions!$F$15))</f>
        <v>68946.68912901092</v>
      </c>
      <c r="F23" s="10">
        <f>B23-D23</f>
        <v>831288.370904093</v>
      </c>
      <c r="H23" s="10">
        <f>IF(A23=Assumptions!$F$12,-Assumptions!$F$14*Assumptions!$B$3,0)</f>
        <v>0</v>
      </c>
      <c r="I23" s="10">
        <f>IF(Assumptions!$F$19="Y",-H23,0)</f>
        <v>0</v>
      </c>
      <c r="J23" s="10">
        <f>IF($A23-Assumptions!$F$13&lt;0,0,(Assumptions!$F$17*12*Assumptions!$F$16*Assumptions!$B$8)*(1+Assumptions!$B$9)^($A23-Assumptions!$F$13))</f>
        <v>3119658.9892041576</v>
      </c>
      <c r="K23" s="10">
        <f>IF(J23=0,0,-J23*Assumptions!$B$7)</f>
        <v>-1247863.5956816631</v>
      </c>
      <c r="L23" s="10">
        <f>-D23-E23</f>
        <v>-156947.50661173023</v>
      </c>
      <c r="M23" s="10">
        <f>SUM(H23:L23)</f>
        <v>1714847.8869107643</v>
      </c>
    </row>
    <row r="24" spans="1:13" ht="12.75">
      <c r="A24" s="21">
        <f>Assumptions!$H24</f>
        <v>2037</v>
      </c>
      <c r="B24" s="10">
        <f>IF(A24=Assumptions!$F$12,Assumptions!$F$14*(1-Assumptions!$B$3),F23)</f>
        <v>831288.370904093</v>
      </c>
      <c r="C24" s="10">
        <f>IF(B24&lt;1,0,IF(A24=Assumptions!$F$12,Assumptions!$F$18*Assumptions!$F$22,Assumptions!$F$22))</f>
        <v>156947.50661173023</v>
      </c>
      <c r="D24" s="10">
        <f>C24-E24</f>
        <v>94600.87879392326</v>
      </c>
      <c r="E24" s="10">
        <f>IF(B24=0,0,IF(C24&lt;Assumptions!$F$22,Assumptions!$F$18*Assumptions!$F$15*B24,B24*Assumptions!$F$15))</f>
        <v>62346.62781780698</v>
      </c>
      <c r="F24" s="10">
        <f>B24-D24</f>
        <v>736687.4921101697</v>
      </c>
      <c r="H24" s="10">
        <f>IF(A24=Assumptions!$F$12,-Assumptions!$F$14*Assumptions!$B$3,0)</f>
        <v>0</v>
      </c>
      <c r="I24" s="10">
        <f>IF(Assumptions!$F$19="Y",-H24,0)</f>
        <v>0</v>
      </c>
      <c r="J24" s="10">
        <f>IF($A24-Assumptions!$F$13&lt;0,0,(Assumptions!$F$17*12*Assumptions!$F$16*Assumptions!$B$8)*(1+Assumptions!$B$9)^($A24-Assumptions!$F$13))</f>
        <v>3275641.9386643656</v>
      </c>
      <c r="K24" s="10">
        <f>IF(J24=0,0,-J24*Assumptions!$B$7)</f>
        <v>-1310256.7754657464</v>
      </c>
      <c r="L24" s="10">
        <f>-D24-E24</f>
        <v>-156947.50661173023</v>
      </c>
      <c r="M24" s="10">
        <f>SUM(H24:L24)</f>
        <v>1808437.656586889</v>
      </c>
    </row>
    <row r="25" spans="1:13" ht="12.75">
      <c r="A25" s="21">
        <f>Assumptions!$H25</f>
        <v>2038</v>
      </c>
      <c r="B25" s="10">
        <f>IF(A25=Assumptions!$F$12,Assumptions!$F$14*(1-Assumptions!$B$3),F24)</f>
        <v>736687.4921101697</v>
      </c>
      <c r="C25" s="10">
        <f>IF(B25&lt;1,0,IF(A25=Assumptions!$F$12,Assumptions!$F$18*Assumptions!$F$22,Assumptions!$F$22))</f>
        <v>156947.50661173023</v>
      </c>
      <c r="D25" s="10">
        <f>C25-E25</f>
        <v>101695.94470346751</v>
      </c>
      <c r="E25" s="10">
        <f>IF(B25=0,0,IF(C25&lt;Assumptions!$F$22,Assumptions!$F$18*Assumptions!$F$15*B25,B25*Assumptions!$F$15))</f>
        <v>55251.56190826273</v>
      </c>
      <c r="F25" s="10">
        <f>B25-D25</f>
        <v>634991.5474067022</v>
      </c>
      <c r="H25" s="10">
        <f>IF(A25=Assumptions!$F$12,-Assumptions!$F$14*Assumptions!$B$3,0)</f>
        <v>0</v>
      </c>
      <c r="I25" s="10">
        <f>IF(Assumptions!$F$19="Y",-H25,0)</f>
        <v>0</v>
      </c>
      <c r="J25" s="10">
        <f>IF($A25-Assumptions!$F$13&lt;0,0,(Assumptions!$F$17*12*Assumptions!$F$16*Assumptions!$B$8)*(1+Assumptions!$B$9)^($A25-Assumptions!$F$13))</f>
        <v>3439424.035597584</v>
      </c>
      <c r="K25" s="10">
        <f>IF(J25=0,0,-J25*Assumptions!$B$7)</f>
        <v>-1375769.6142390338</v>
      </c>
      <c r="L25" s="10">
        <f>-D25-E25</f>
        <v>-156947.50661173023</v>
      </c>
      <c r="M25" s="10">
        <f>SUM(H25:L25)</f>
        <v>1906706.9147468202</v>
      </c>
    </row>
    <row r="26" spans="1:13" ht="12.75">
      <c r="A26" s="21">
        <f>Assumptions!$H26</f>
        <v>2039</v>
      </c>
      <c r="B26" s="10">
        <f>IF(A26=Assumptions!$F$12,Assumptions!$F$14*(1-Assumptions!$B$3),F25)</f>
        <v>634991.5474067022</v>
      </c>
      <c r="C26" s="10">
        <f>IF(B26&lt;1,0,IF(A26=Assumptions!$F$12,Assumptions!$F$18*Assumptions!$F$22,Assumptions!$F$22))</f>
        <v>156947.50661173023</v>
      </c>
      <c r="D26" s="10">
        <f>C26-E26</f>
        <v>109323.14055622756</v>
      </c>
      <c r="E26" s="10">
        <f>IF(B26=0,0,IF(C26&lt;Assumptions!$F$22,Assumptions!$F$18*Assumptions!$F$15*B26,B26*Assumptions!$F$15))</f>
        <v>47624.366055502665</v>
      </c>
      <c r="F26" s="10">
        <f>B26-D26</f>
        <v>525668.4068504747</v>
      </c>
      <c r="H26" s="10">
        <f>IF(A26=Assumptions!$F$12,-Assumptions!$F$14*Assumptions!$B$3,0)</f>
        <v>0</v>
      </c>
      <c r="I26" s="10">
        <f>IF(Assumptions!$F$19="Y",-H26,0)</f>
        <v>0</v>
      </c>
      <c r="J26" s="10">
        <f>IF($A26-Assumptions!$F$13&lt;0,0,(Assumptions!$F$17*12*Assumptions!$F$16*Assumptions!$B$8)*(1+Assumptions!$B$9)^($A26-Assumptions!$F$13))</f>
        <v>3611395.237377464</v>
      </c>
      <c r="K26" s="10">
        <f>IF(J26=0,0,-J26*Assumptions!$B$7)</f>
        <v>-1444558.0949509856</v>
      </c>
      <c r="L26" s="10">
        <f>-D26-E26</f>
        <v>-156947.50661173023</v>
      </c>
      <c r="M26" s="10">
        <f>SUM(H26:L26)</f>
        <v>2009889.635814748</v>
      </c>
    </row>
    <row r="27" spans="1:13" ht="12.75">
      <c r="A27" s="21">
        <f>Assumptions!$H27</f>
        <v>2040</v>
      </c>
      <c r="B27" s="10">
        <f>IF(A27=Assumptions!$F$12,Assumptions!$F$14*(1-Assumptions!$B$3),F26)</f>
        <v>525668.4068504747</v>
      </c>
      <c r="C27" s="10">
        <f>IF(B27&lt;1,0,IF(A27=Assumptions!$F$12,Assumptions!$F$18*Assumptions!$F$22,Assumptions!$F$22))</f>
        <v>156947.50661173023</v>
      </c>
      <c r="D27" s="10">
        <f>C27-E27</f>
        <v>117522.37609794464</v>
      </c>
      <c r="E27" s="10">
        <f>IF(B27=0,0,IF(C27&lt;Assumptions!$F$22,Assumptions!$F$18*Assumptions!$F$15*B27,B27*Assumptions!$F$15))</f>
        <v>39425.130513785596</v>
      </c>
      <c r="F27" s="10">
        <f>B27-D27</f>
        <v>408146.03075253003</v>
      </c>
      <c r="H27" s="10">
        <f>IF(A27=Assumptions!$F$12,-Assumptions!$F$14*Assumptions!$B$3,0)</f>
        <v>0</v>
      </c>
      <c r="I27" s="10">
        <f>IF(Assumptions!$F$19="Y",-H27,0)</f>
        <v>0</v>
      </c>
      <c r="J27" s="10">
        <f>IF($A27-Assumptions!$F$13&lt;0,0,(Assumptions!$F$17*12*Assumptions!$F$16*Assumptions!$B$8)*(1+Assumptions!$B$9)^($A27-Assumptions!$F$13))</f>
        <v>3791964.999246337</v>
      </c>
      <c r="K27" s="10">
        <f>IF(J27=0,0,-J27*Assumptions!$B$7)</f>
        <v>-1516785.9996985348</v>
      </c>
      <c r="L27" s="10">
        <f>-D27-E27</f>
        <v>-156947.50661173023</v>
      </c>
      <c r="M27" s="10">
        <f>SUM(H27:L27)</f>
        <v>2118231.492936072</v>
      </c>
    </row>
    <row r="28" spans="1:13" ht="12.75">
      <c r="A28" s="21">
        <f>Assumptions!$H28</f>
        <v>2041</v>
      </c>
      <c r="B28" s="10">
        <f>IF(A28=Assumptions!$F$12,Assumptions!$F$14*(1-Assumptions!$B$3),F27)</f>
        <v>408146.03075253003</v>
      </c>
      <c r="C28" s="10">
        <f>IF(B28&lt;1,0,IF(A28=Assumptions!$F$12,Assumptions!$F$18*Assumptions!$F$22,Assumptions!$F$22))</f>
        <v>156947.50661173023</v>
      </c>
      <c r="D28" s="10">
        <f>C28-E28</f>
        <v>126336.55430529048</v>
      </c>
      <c r="E28" s="10">
        <f>IF(B28=0,0,IF(C28&lt;Assumptions!$F$22,Assumptions!$F$18*Assumptions!$F$15*B28,B28*Assumptions!$F$15))</f>
        <v>30610.95230643975</v>
      </c>
      <c r="F28" s="10">
        <f>B28-D28</f>
        <v>281809.4764472395</v>
      </c>
      <c r="H28" s="10">
        <f>IF(A28=Assumptions!$F$12,-Assumptions!$F$14*Assumptions!$B$3,0)</f>
        <v>0</v>
      </c>
      <c r="I28" s="10">
        <f>IF(Assumptions!$F$19="Y",-H28,0)</f>
        <v>0</v>
      </c>
      <c r="J28" s="10">
        <f>IF($A28-Assumptions!$F$13&lt;0,0,(Assumptions!$F$17*12*Assumptions!$F$16*Assumptions!$B$8)*(1+Assumptions!$B$9)^($A28-Assumptions!$F$13))</f>
        <v>3981563.2492086533</v>
      </c>
      <c r="K28" s="10">
        <f>IF(J28=0,0,-J28*Assumptions!$B$7)</f>
        <v>-1592625.2996834614</v>
      </c>
      <c r="L28" s="10">
        <f>-D28-E28</f>
        <v>-156947.50661173023</v>
      </c>
      <c r="M28" s="10">
        <f>SUM(H28:L28)</f>
        <v>2231990.4429134615</v>
      </c>
    </row>
    <row r="29" spans="1:13" ht="12.75">
      <c r="A29" s="21">
        <f>Assumptions!$H29</f>
        <v>2042</v>
      </c>
      <c r="B29" s="10">
        <f>IF(A29=Assumptions!$F$12,Assumptions!$F$14*(1-Assumptions!$B$3),F28)</f>
        <v>281809.4764472395</v>
      </c>
      <c r="C29" s="10">
        <f>IF(B29&lt;1,0,IF(A29=Assumptions!$F$12,Assumptions!$F$18*Assumptions!$F$22,Assumptions!$F$22))</f>
        <v>156947.50661173023</v>
      </c>
      <c r="D29" s="10">
        <f>C29-E29</f>
        <v>135811.79587818726</v>
      </c>
      <c r="E29" s="10">
        <f>IF(B29=0,0,IF(C29&lt;Assumptions!$F$22,Assumptions!$F$18*Assumptions!$F$15*B29,B29*Assumptions!$F$15))</f>
        <v>21135.710733542965</v>
      </c>
      <c r="F29" s="10">
        <f>B29-D29</f>
        <v>145997.68056905226</v>
      </c>
      <c r="H29" s="10">
        <f>IF(A29=Assumptions!$F$12,-Assumptions!$F$14*Assumptions!$B$3,0)</f>
        <v>0</v>
      </c>
      <c r="I29" s="10">
        <f>IF(Assumptions!$F$19="Y",-H29,0)</f>
        <v>0</v>
      </c>
      <c r="J29" s="10">
        <f>IF($A29-Assumptions!$F$13&lt;0,0,(Assumptions!$F$17*12*Assumptions!$F$16*Assumptions!$B$8)*(1+Assumptions!$B$9)^($A29-Assumptions!$F$13))</f>
        <v>4180641.4116690867</v>
      </c>
      <c r="K29" s="10">
        <f>IF(J29=0,0,-J29*Assumptions!$B$7)</f>
        <v>-1672256.5646676347</v>
      </c>
      <c r="L29" s="10">
        <f>-D29-E29</f>
        <v>-156947.50661173023</v>
      </c>
      <c r="M29" s="10">
        <f>SUM(H29:L29)</f>
        <v>2351437.340389722</v>
      </c>
    </row>
    <row r="30" spans="1:13" ht="12.75">
      <c r="A30" s="21">
        <f>Assumptions!$H30</f>
        <v>2043</v>
      </c>
      <c r="B30" s="10">
        <f>IF(A30=Assumptions!$F$12,Assumptions!$F$14*(1-Assumptions!$B$3),F29)</f>
        <v>145997.68056905226</v>
      </c>
      <c r="C30" s="10">
        <f>IF(B30&lt;1,0,IF(A30=Assumptions!$F$12,Assumptions!$F$18*Assumptions!$F$22,Assumptions!$F$22))</f>
        <v>156947.50661173023</v>
      </c>
      <c r="D30" s="10">
        <f>C30-E30</f>
        <v>145997.68056905133</v>
      </c>
      <c r="E30" s="10">
        <f>IF(B30=0,0,IF(C30&lt;Assumptions!$F$22,Assumptions!$F$18*Assumptions!$F$15*B30,B30*Assumptions!$F$15))</f>
        <v>10949.826042678918</v>
      </c>
      <c r="F30" s="10">
        <f>B30-D30</f>
        <v>9.313225746154785E-10</v>
      </c>
      <c r="H30" s="10">
        <f>IF(A30=Assumptions!$F$12,-Assumptions!$F$14*Assumptions!$B$3,0)</f>
        <v>0</v>
      </c>
      <c r="I30" s="10">
        <f>IF(Assumptions!$F$19="Y",-H30,0)</f>
        <v>0</v>
      </c>
      <c r="J30" s="10">
        <f>IF($A30-Assumptions!$F$13&lt;0,0,(Assumptions!$F$17*12*Assumptions!$F$16*Assumptions!$B$8)*(1+Assumptions!$B$9)^($A30-Assumptions!$F$13))</f>
        <v>4389673.482252541</v>
      </c>
      <c r="K30" s="10">
        <f>IF(J30=0,0,-J30*Assumptions!$B$7)</f>
        <v>-1755869.3929010164</v>
      </c>
      <c r="L30" s="10">
        <f>-D30-E30</f>
        <v>-156947.50661173023</v>
      </c>
      <c r="M30" s="10">
        <f>SUM(H30:L30)</f>
        <v>2476856.5827397946</v>
      </c>
    </row>
    <row r="31" spans="1:13" ht="12.75">
      <c r="A31" s="21">
        <f>Assumptions!$H31</f>
        <v>2044</v>
      </c>
      <c r="B31" s="10">
        <f>IF(A31=Assumptions!$F$12,Assumptions!$F$14*(1-Assumptions!$B$3),F30)</f>
        <v>9.313225746154785E-10</v>
      </c>
      <c r="C31" s="10">
        <f>IF(B31&lt;1,0,IF(A31=Assumptions!$F$12,Assumptions!$F$18*Assumptions!$F$22,Assumptions!$F$22))</f>
        <v>0</v>
      </c>
      <c r="D31" s="10">
        <f>C31-E31</f>
        <v>-6.984919309616089E-11</v>
      </c>
      <c r="E31" s="10">
        <f>IF(B31=0,0,IF(C31&lt;Assumptions!$F$22,Assumptions!$F$18*Assumptions!$F$15*B31,B31*Assumptions!$F$15))</f>
        <v>6.984919309616089E-11</v>
      </c>
      <c r="F31" s="10">
        <f>B31-D31</f>
        <v>1.0011717677116394E-09</v>
      </c>
      <c r="H31" s="10">
        <f>IF(A31=Assumptions!$F$12,-Assumptions!$F$14*Assumptions!$B$3,0)</f>
        <v>0</v>
      </c>
      <c r="I31" s="10">
        <f>IF(Assumptions!$F$19="Y",-H31,0)</f>
        <v>0</v>
      </c>
      <c r="J31" s="10">
        <f>IF($A31-Assumptions!$F$13&lt;0,0,(Assumptions!$F$17*12*Assumptions!$F$16*Assumptions!$B$8)*(1+Assumptions!$B$9)^($A31-Assumptions!$F$13))</f>
        <v>4609157.156365168</v>
      </c>
      <c r="K31" s="10">
        <f>IF(J31=0,0,-J31*Assumptions!$B$7)</f>
        <v>-1843662.8625460675</v>
      </c>
      <c r="L31" s="10">
        <f>-D31-E31</f>
        <v>0</v>
      </c>
      <c r="M31" s="10">
        <f>SUM(H31:L31)</f>
        <v>2765494.2938191006</v>
      </c>
    </row>
    <row r="32" spans="1:13" ht="12.75">
      <c r="A32" s="21">
        <f>Assumptions!$H32</f>
        <v>2045</v>
      </c>
      <c r="B32" s="10">
        <f>IF(A32=Assumptions!$F$12,Assumptions!$F$14*(1-Assumptions!$B$3),F31)</f>
        <v>1.0011717677116394E-09</v>
      </c>
      <c r="C32" s="10">
        <f>IF(B32&lt;1,0,IF(A32=Assumptions!$F$12,Assumptions!$F$18*Assumptions!$F$22,Assumptions!$F$22))</f>
        <v>0</v>
      </c>
      <c r="D32" s="10">
        <f>C32-E32</f>
        <v>-7.508788257837294E-11</v>
      </c>
      <c r="E32" s="10">
        <f>IF(B32=0,0,IF(C32&lt;Assumptions!$F$22,Assumptions!$F$18*Assumptions!$F$15*B32,B32*Assumptions!$F$15))</f>
        <v>7.508788257837294E-11</v>
      </c>
      <c r="F32" s="10">
        <f>B32-D32</f>
        <v>1.0762596502900123E-09</v>
      </c>
      <c r="H32" s="10">
        <f>IF(A32=Assumptions!$F$12,-Assumptions!$F$14*Assumptions!$B$3,0)</f>
        <v>0</v>
      </c>
      <c r="I32" s="10">
        <f>IF(Assumptions!$F$19="Y",-H32,0)</f>
        <v>0</v>
      </c>
      <c r="J32" s="10">
        <f>IF($A32-Assumptions!$F$13&lt;0,0,(Assumptions!$F$17*12*Assumptions!$F$16*Assumptions!$B$8)*(1+Assumptions!$B$9)^($A32-Assumptions!$F$13))</f>
        <v>4839615.014183426</v>
      </c>
      <c r="K32" s="10">
        <f>IF(J32=0,0,-J32*Assumptions!$B$7)</f>
        <v>-1935846.0056733706</v>
      </c>
      <c r="L32" s="10">
        <f>-D32-E32</f>
        <v>0</v>
      </c>
      <c r="M32" s="10">
        <f>SUM(H32:L32)</f>
        <v>2903769.008510056</v>
      </c>
    </row>
    <row r="33" spans="1:13" ht="12.75">
      <c r="A33" s="21">
        <f>Assumptions!$H33</f>
        <v>2046</v>
      </c>
      <c r="B33" s="10">
        <f>IF(A33=Assumptions!$F$12,Assumptions!$F$14*(1-Assumptions!$B$3),F32)</f>
        <v>1.0762596502900123E-09</v>
      </c>
      <c r="C33" s="10">
        <f>IF(B33&lt;1,0,IF(A33=Assumptions!$F$12,Assumptions!$F$18*Assumptions!$F$22,Assumptions!$F$22))</f>
        <v>0</v>
      </c>
      <c r="D33" s="10">
        <f>C33-E33</f>
        <v>-8.071947377175092E-11</v>
      </c>
      <c r="E33" s="10">
        <f>IF(B33=0,0,IF(C33&lt;Assumptions!$F$22,Assumptions!$F$18*Assumptions!$F$15*B33,B33*Assumptions!$F$15))</f>
        <v>8.071947377175092E-11</v>
      </c>
      <c r="F33" s="10">
        <f>B33-D33</f>
        <v>1.1569791240617632E-09</v>
      </c>
      <c r="H33" s="10">
        <f>IF(A33=Assumptions!$F$12,-Assumptions!$F$14*Assumptions!$B$3,0)</f>
        <v>0</v>
      </c>
      <c r="I33" s="10">
        <f>IF(Assumptions!$F$19="Y",-H33,0)</f>
        <v>0</v>
      </c>
      <c r="J33" s="10">
        <f>IF($A33-Assumptions!$F$13&lt;0,0,(Assumptions!$F$17*12*Assumptions!$F$16*Assumptions!$B$8)*(1+Assumptions!$B$9)^($A33-Assumptions!$F$13))</f>
        <v>5081595.764892599</v>
      </c>
      <c r="K33" s="10">
        <f>IF(J33=0,0,-J33*Assumptions!$B$7)</f>
        <v>-2032638.3059570396</v>
      </c>
      <c r="L33" s="10">
        <f>-D33-E33</f>
        <v>0</v>
      </c>
      <c r="M33" s="10">
        <f>SUM(H33:L33)</f>
        <v>3048957.458935559</v>
      </c>
    </row>
    <row r="34" spans="1:13" ht="12.75">
      <c r="A34" s="21">
        <f>Assumptions!$H34</f>
        <v>2047</v>
      </c>
      <c r="B34" s="10">
        <f>IF(A34=Assumptions!$F$12,Assumptions!$F$14*(1-Assumptions!$B$3),F33)</f>
        <v>1.1569791240617632E-09</v>
      </c>
      <c r="C34" s="10">
        <f>IF(B34&lt;1,0,IF(A34=Assumptions!$F$12,Assumptions!$F$18*Assumptions!$F$22,Assumptions!$F$22))</f>
        <v>0</v>
      </c>
      <c r="D34" s="10">
        <f>C34-E34</f>
        <v>-8.677343430463223E-11</v>
      </c>
      <c r="E34" s="10">
        <f>IF(B34=0,0,IF(C34&lt;Assumptions!$F$22,Assumptions!$F$18*Assumptions!$F$15*B34,B34*Assumptions!$F$15))</f>
        <v>8.677343430463223E-11</v>
      </c>
      <c r="F34" s="10">
        <f>B34-D34</f>
        <v>1.2437525583663954E-09</v>
      </c>
      <c r="H34" s="10">
        <f>IF(A34=Assumptions!$F$12,-Assumptions!$F$14*Assumptions!$B$3,0)</f>
        <v>0</v>
      </c>
      <c r="I34" s="10">
        <f>IF(Assumptions!$F$19="Y",-H34,0)</f>
        <v>0</v>
      </c>
      <c r="J34" s="10">
        <f>IF($A34-Assumptions!$F$13&lt;0,0,(Assumptions!$F$17*12*Assumptions!$F$16*Assumptions!$B$8)*(1+Assumptions!$B$9)^($A34-Assumptions!$F$13))</f>
        <v>5335675.553137229</v>
      </c>
      <c r="K34" s="10">
        <f>IF(J34=0,0,-J34*Assumptions!$B$7)</f>
        <v>-2134270.2212548917</v>
      </c>
      <c r="L34" s="10">
        <f>-D34-E34</f>
        <v>0</v>
      </c>
      <c r="M34" s="10">
        <f>SUM(H34:L34)</f>
        <v>3201405.331882337</v>
      </c>
    </row>
    <row r="35" spans="1:13" ht="12.75">
      <c r="A35" s="21">
        <f>Assumptions!$H35</f>
        <v>2048</v>
      </c>
      <c r="B35" s="10">
        <f>IF(A35=Assumptions!$F$12,Assumptions!$F$14*(1-Assumptions!$B$3),F34)</f>
        <v>1.2437525583663954E-09</v>
      </c>
      <c r="C35" s="10">
        <f>IF(B35&lt;1,0,IF(A35=Assumptions!$F$12,Assumptions!$F$18*Assumptions!$F$22,Assumptions!$F$22))</f>
        <v>0</v>
      </c>
      <c r="D35" s="10">
        <f>C35-E35</f>
        <v>-9.328144187747965E-11</v>
      </c>
      <c r="E35" s="10">
        <f>IF(B35=0,0,IF(C35&lt;Assumptions!$F$22,Assumptions!$F$18*Assumptions!$F$15*B35,B35*Assumptions!$F$15))</f>
        <v>9.328144187747965E-11</v>
      </c>
      <c r="F35" s="10">
        <f>B35-D35</f>
        <v>1.337034000243875E-09</v>
      </c>
      <c r="H35" s="10">
        <f>IF(A35=Assumptions!$F$12,-Assumptions!$F$14*Assumptions!$B$3,0)</f>
        <v>0</v>
      </c>
      <c r="I35" s="10">
        <f>IF(Assumptions!$F$19="Y",-H35,0)</f>
        <v>0</v>
      </c>
      <c r="J35" s="10">
        <f>IF($A35-Assumptions!$F$13&lt;0,0,(Assumptions!$F$17*12*Assumptions!$F$16*Assumptions!$B$8)*(1+Assumptions!$B$9)^($A35-Assumptions!$F$13))</f>
        <v>5602459.33079409</v>
      </c>
      <c r="K35" s="10">
        <f>IF(J35=0,0,-J35*Assumptions!$B$7)</f>
        <v>-2240983.7323176363</v>
      </c>
      <c r="L35" s="10">
        <f>-D35-E35</f>
        <v>0</v>
      </c>
      <c r="M35" s="10">
        <f>SUM(H35:L35)</f>
        <v>3361475.598476454</v>
      </c>
    </row>
    <row r="36" spans="1:13" ht="12.75">
      <c r="A36" s="21">
        <f>Assumptions!$H36</f>
        <v>2049</v>
      </c>
      <c r="B36" s="10">
        <f>IF(A36=Assumptions!$F$12,Assumptions!$F$14*(1-Assumptions!$B$3),F35)</f>
        <v>1.337034000243875E-09</v>
      </c>
      <c r="C36" s="10">
        <f>IF(B36&lt;1,0,IF(A36=Assumptions!$F$12,Assumptions!$F$18*Assumptions!$F$22,Assumptions!$F$22))</f>
        <v>0</v>
      </c>
      <c r="D36" s="10">
        <f>C36-E36</f>
        <v>-1.0027755001829063E-10</v>
      </c>
      <c r="E36" s="10">
        <f>IF(B36=0,0,IF(C36&lt;Assumptions!$F$22,Assumptions!$F$18*Assumptions!$F$15*B36,B36*Assumptions!$F$15))</f>
        <v>1.0027755001829063E-10</v>
      </c>
      <c r="F36" s="10">
        <f>B36-D36</f>
        <v>1.4373115502621657E-09</v>
      </c>
      <c r="H36" s="10">
        <f>IF(A36=Assumptions!$F$12,-Assumptions!$F$14*Assumptions!$B$3,0)</f>
        <v>0</v>
      </c>
      <c r="I36" s="10">
        <f>IF(Assumptions!$F$19="Y",-H36,0)</f>
        <v>0</v>
      </c>
      <c r="J36" s="10">
        <f>IF($A36-Assumptions!$F$13&lt;0,0,(Assumptions!$F$17*12*Assumptions!$F$16*Assumptions!$B$8)*(1+Assumptions!$B$9)^($A36-Assumptions!$F$13))</f>
        <v>5882582.297333795</v>
      </c>
      <c r="K36" s="10">
        <f>IF(J36=0,0,-J36*Assumptions!$B$7)</f>
        <v>-2353032.9189335178</v>
      </c>
      <c r="L36" s="10">
        <f>-D36-E36</f>
        <v>0</v>
      </c>
      <c r="M36" s="10">
        <f>SUM(H36:L36)</f>
        <v>3529549.378400277</v>
      </c>
    </row>
    <row r="37" spans="1:13" ht="12.75">
      <c r="A37" s="21">
        <f>Assumptions!$H37</f>
        <v>2050</v>
      </c>
      <c r="B37" s="10">
        <f>IF(A37=Assumptions!$F$12,Assumptions!$F$14*(1-Assumptions!$B$3),F36)</f>
        <v>1.4373115502621657E-09</v>
      </c>
      <c r="C37" s="10">
        <f>IF(B37&lt;1,0,IF(A37=Assumptions!$F$12,Assumptions!$F$18*Assumptions!$F$22,Assumptions!$F$22))</f>
        <v>0</v>
      </c>
      <c r="D37" s="10">
        <f>C37-E37</f>
        <v>-1.0779836626966242E-10</v>
      </c>
      <c r="E37" s="10">
        <f>IF(B37=0,0,IF(C37&lt;Assumptions!$F$22,Assumptions!$F$18*Assumptions!$F$15*B37,B37*Assumptions!$F$15))</f>
        <v>1.0779836626966242E-10</v>
      </c>
      <c r="F37" s="10">
        <f>B37-D37</f>
        <v>1.5451099165318283E-09</v>
      </c>
      <c r="H37" s="10">
        <f>IF(A37=Assumptions!$F$12,-Assumptions!$F$14*Assumptions!$B$3,0)</f>
        <v>0</v>
      </c>
      <c r="I37" s="10">
        <f>IF(Assumptions!$F$19="Y",-H37,0)</f>
        <v>0</v>
      </c>
      <c r="J37" s="10">
        <f>IF($A37-Assumptions!$F$13&lt;0,0,(Assumptions!$F$17*12*Assumptions!$F$16*Assumptions!$B$8)*(1+Assumptions!$B$9)^($A37-Assumptions!$F$13))</f>
        <v>6176711.412200485</v>
      </c>
      <c r="K37" s="10">
        <f>IF(J37=0,0,-J37*Assumptions!$B$7)</f>
        <v>-2470684.564880194</v>
      </c>
      <c r="L37" s="10">
        <f>-D37-E37</f>
        <v>0</v>
      </c>
      <c r="M37" s="10">
        <f>SUM(H37:L37)</f>
        <v>3706026.847320291</v>
      </c>
    </row>
    <row r="38" spans="1:9" ht="12.75">
      <c r="A38" s="22" t="s">
        <v>40</v>
      </c>
      <c r="B38" s="23"/>
      <c r="C38" s="23"/>
      <c r="D38" s="23">
        <f>SUM(D3:D37)</f>
        <v>1599999.999999999</v>
      </c>
      <c r="E38" s="23">
        <f>SUM(E3:E37)</f>
        <v>1538950.1322346055</v>
      </c>
      <c r="F38" s="23"/>
      <c r="G38" s="23"/>
      <c r="H38" s="23"/>
      <c r="I38" s="23"/>
    </row>
  </sheetData>
  <sheetProtection selectLockedCells="1" selectUnlockedCells="1"/>
  <mergeCells count="2">
    <mergeCell ref="B1:F1"/>
    <mergeCell ref="H1:M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Zeros="0" workbookViewId="0" topLeftCell="A1">
      <pane ySplit="2" topLeftCell="A3" activePane="bottomLeft" state="frozen"/>
      <selection pane="topLeft" activeCell="A1" sqref="A1"/>
      <selection pane="bottomLeft" activeCell="J4" sqref="J4"/>
    </sheetView>
  </sheetViews>
  <sheetFormatPr defaultColWidth="12.57421875" defaultRowHeight="12.75"/>
  <cols>
    <col min="1" max="1" width="12.28125" style="0" customWidth="1"/>
    <col min="2" max="2" width="11.57421875" style="4" customWidth="1"/>
    <col min="3" max="8" width="11.57421875" style="0" customWidth="1"/>
    <col min="9" max="9" width="0.71875" style="0" customWidth="1"/>
    <col min="10" max="10" width="11.57421875" style="0" customWidth="1"/>
    <col min="11" max="11" width="13.421875" style="0" customWidth="1"/>
    <col min="12" max="16384" width="11.57421875" style="0" customWidth="1"/>
  </cols>
  <sheetData>
    <row r="1" spans="3:14" ht="12.75">
      <c r="C1" s="1" t="s">
        <v>42</v>
      </c>
      <c r="D1" s="1"/>
      <c r="E1" s="1"/>
      <c r="F1" s="1"/>
      <c r="G1" s="1"/>
      <c r="H1" s="24"/>
      <c r="I1" s="24"/>
      <c r="J1" s="1" t="s">
        <v>43</v>
      </c>
      <c r="K1" s="1"/>
      <c r="L1" s="1"/>
      <c r="M1" s="1"/>
      <c r="N1" s="1"/>
    </row>
    <row r="2" spans="2:14" ht="12.75">
      <c r="B2" s="25" t="s">
        <v>31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 t="s">
        <v>44</v>
      </c>
      <c r="I2" s="5"/>
      <c r="J2" s="25" t="s">
        <v>45</v>
      </c>
      <c r="K2" s="25" t="s">
        <v>46</v>
      </c>
      <c r="L2" s="25" t="s">
        <v>47</v>
      </c>
      <c r="M2" s="25" t="s">
        <v>48</v>
      </c>
      <c r="N2" s="25" t="s">
        <v>49</v>
      </c>
    </row>
    <row r="3" spans="1:14" ht="12.75">
      <c r="A3" s="21">
        <f>Assumptions!$H3</f>
        <v>2016</v>
      </c>
      <c r="B3" s="26">
        <f>Assumptions!B2</f>
        <v>150000</v>
      </c>
      <c r="C3" s="10">
        <f>'Project 1'!M3</f>
        <v>-116048.51743813825</v>
      </c>
      <c r="D3" s="10">
        <f>'Project 2'!N3</f>
        <v>0</v>
      </c>
      <c r="E3" s="10">
        <f>'Project 3'!N3</f>
        <v>0</v>
      </c>
      <c r="F3" s="10">
        <f>'Project 4'!N3</f>
        <v>0</v>
      </c>
      <c r="G3" s="10">
        <f>'Project 5'!M3</f>
        <v>0</v>
      </c>
      <c r="H3" s="10">
        <f>IF(A3-Assumptions!$E$2&lt;0,0,-Assumptions!$E$3*(1+Assumptions!$E$4)^(A3-Assumptions!$E$2))</f>
        <v>0</v>
      </c>
      <c r="I3" s="10"/>
      <c r="J3" s="10">
        <f>SUM(B3:H3)</f>
        <v>33951.48256186175</v>
      </c>
      <c r="K3" s="10">
        <f>IF(A3&gt;=Assumptions!$B$12,Assumptions!$B$14,0)+IF(A3&gt;=Assumptions!$C$12,Assumptions!$C$14,0)+IF(A3&gt;=Assumptions!$D$12,Assumptions!$D$14,0)+IF(A3&gt;=Assumptions!$E$12,Assumptions!$E$14,0)+IF(A3&gt;=Assumptions!$F$12,Assumptions!$F$14,0)</f>
        <v>500000</v>
      </c>
      <c r="L3" s="10">
        <f>J3+K3</f>
        <v>533951.4825618617</v>
      </c>
      <c r="M3" s="10">
        <f>'Project 1'!G3+'Project 2'!G3+'Project 3'!G3+'Project 4'!G3+'Project 5'!F3</f>
        <v>393951.48256186175</v>
      </c>
      <c r="N3" s="10">
        <f>L3-M3</f>
        <v>140000</v>
      </c>
    </row>
    <row r="4" spans="1:14" ht="12.75">
      <c r="A4" s="21">
        <f>Assumptions!$H4</f>
        <v>2017</v>
      </c>
      <c r="B4" s="26">
        <f>J3</f>
        <v>33951.48256186175</v>
      </c>
      <c r="C4" s="10">
        <f>'Project 1'!M4</f>
        <v>49982.96512372348</v>
      </c>
      <c r="D4" s="10">
        <f>'Project 2'!N4</f>
        <v>0</v>
      </c>
      <c r="E4" s="10">
        <f>'Project 3'!N4</f>
        <v>0</v>
      </c>
      <c r="F4" s="10">
        <f>'Project 4'!N4</f>
        <v>0</v>
      </c>
      <c r="G4" s="10">
        <f>'Project 5'!M4</f>
        <v>0</v>
      </c>
      <c r="H4" s="10">
        <f>IF(A4-Assumptions!$E$2&lt;0,0,-Assumptions!$E$3*(1+Assumptions!$E$4)^(A4-Assumptions!$E$2))</f>
        <v>0</v>
      </c>
      <c r="I4" s="10"/>
      <c r="J4" s="10">
        <f>SUM(B4:H4)</f>
        <v>83934.44768558523</v>
      </c>
      <c r="K4" s="10">
        <f>IF(A4&gt;=Assumptions!$B$12,Assumptions!$B$14,0)+IF(A4&gt;=Assumptions!$C$12,Assumptions!$C$14,0)+IF(A4&gt;=Assumptions!$D$12,Assumptions!$D$14,0)+IF(A4&gt;=Assumptions!$E$12,Assumptions!$E$14,0)+IF(A4&gt;=Assumptions!$F$12,Assumptions!$F$14,0)</f>
        <v>500000</v>
      </c>
      <c r="L4" s="10">
        <f>J4+K4</f>
        <v>583934.4476855852</v>
      </c>
      <c r="M4" s="10">
        <f>'Project 1'!G4+'Project 2'!G4+'Project 3'!G4+'Project 4'!G4+'Project 5'!F4</f>
        <v>381552.0218136783</v>
      </c>
      <c r="N4" s="10">
        <f>L4-M4</f>
        <v>202382.42587190692</v>
      </c>
    </row>
    <row r="5" spans="1:14" ht="12.75">
      <c r="A5" s="21">
        <f>Assumptions!$H5</f>
        <v>2018</v>
      </c>
      <c r="B5" s="26">
        <f>J4</f>
        <v>83934.44768558523</v>
      </c>
      <c r="C5" s="10">
        <f>'Project 1'!M5</f>
        <v>54086.96512372348</v>
      </c>
      <c r="D5" s="10">
        <f>'Project 2'!N5</f>
        <v>-33471.73201397326</v>
      </c>
      <c r="E5" s="10">
        <f>'Project 3'!N5</f>
        <v>0</v>
      </c>
      <c r="F5" s="10">
        <f>'Project 4'!N5</f>
        <v>0</v>
      </c>
      <c r="G5" s="10">
        <f>'Project 5'!M5</f>
        <v>0</v>
      </c>
      <c r="H5" s="10">
        <f>IF(A5-Assumptions!$E$2&lt;0,0,-Assumptions!$E$3*(1+Assumptions!$E$4)^(A5-Assumptions!$E$2))</f>
        <v>0</v>
      </c>
      <c r="I5" s="10"/>
      <c r="J5" s="10">
        <f>SUM(B5:H5)</f>
        <v>104549.68079533544</v>
      </c>
      <c r="K5" s="10">
        <f>IF(A5&gt;=Assumptions!$B$12,Assumptions!$B$14,0)+IF(A5&gt;=Assumptions!$C$12,Assumptions!$C$14,0)+IF(A5&gt;=Assumptions!$D$12,Assumptions!$D$14,0)+IF(A5&gt;=Assumptions!$E$12,Assumptions!$E$14,0)+IF(A5&gt;=Assumptions!$F$12,Assumptions!$F$14,0)</f>
        <v>1500000</v>
      </c>
      <c r="L5" s="10">
        <f>J5+K5</f>
        <v>1604549.6807953354</v>
      </c>
      <c r="M5" s="10">
        <f>'Project 1'!G5+'Project 2'!G5+'Project 3'!G5+'Project 4'!G5+'Project 5'!F5</f>
        <v>1357060.8560141125</v>
      </c>
      <c r="N5" s="10">
        <f>L5-M5</f>
        <v>247488.82478122297</v>
      </c>
    </row>
    <row r="6" spans="1:14" ht="12.75">
      <c r="A6" s="21">
        <f>Assumptions!$H6</f>
        <v>2019</v>
      </c>
      <c r="B6" s="26">
        <f>J5</f>
        <v>104549.68079533544</v>
      </c>
      <c r="C6" s="10">
        <f>'Project 1'!M6</f>
        <v>44872.674234406935</v>
      </c>
      <c r="D6" s="10">
        <f>'Project 2'!N6</f>
        <v>76696.53597205348</v>
      </c>
      <c r="E6" s="10">
        <f>'Project 3'!N6</f>
        <v>0</v>
      </c>
      <c r="F6" s="10">
        <f>'Project 4'!N6</f>
        <v>0</v>
      </c>
      <c r="G6" s="10">
        <f>'Project 5'!M6</f>
        <v>0</v>
      </c>
      <c r="H6" s="10">
        <f>IF(A6-Assumptions!$E$2&lt;0,0,-Assumptions!$E$3*(1+Assumptions!$E$4)^(A6-Assumptions!$E$2))</f>
        <v>0</v>
      </c>
      <c r="I6" s="10"/>
      <c r="J6" s="10">
        <f>SUM(B6:H6)</f>
        <v>226118.89100179586</v>
      </c>
      <c r="K6" s="10">
        <f>IF(A6&gt;=Assumptions!$B$12,Assumptions!$B$14,0)+IF(A6&gt;=Assumptions!$C$12,Assumptions!$C$14,0)+IF(A6&gt;=Assumptions!$D$12,Assumptions!$D$14,0)+IF(A6&gt;=Assumptions!$E$12,Assumptions!$E$14,0)+IF(A6&gt;=Assumptions!$F$12,Assumptions!$F$14,0)</f>
        <v>1500000</v>
      </c>
      <c r="L6" s="10">
        <f>J6+K6</f>
        <v>1726118.891001796</v>
      </c>
      <c r="M6" s="10">
        <f>'Project 1'!G6+'Project 2'!G6+'Project 3'!G6+'Project 4'!G6+'Project 5'!F6</f>
        <v>1316292.5503612086</v>
      </c>
      <c r="N6" s="10">
        <f>L6-M6</f>
        <v>409826.34064058727</v>
      </c>
    </row>
    <row r="7" spans="1:14" ht="12.75">
      <c r="A7" s="21">
        <f>Assumptions!$H7</f>
        <v>2020</v>
      </c>
      <c r="B7" s="26">
        <f>J6</f>
        <v>226118.89100179586</v>
      </c>
      <c r="C7" s="10">
        <f>'Project 1'!M7</f>
        <v>49397.33423440694</v>
      </c>
      <c r="D7" s="10">
        <f>'Project 2'!N7</f>
        <v>83878.53597205348</v>
      </c>
      <c r="E7" s="10">
        <f>'Project 3'!N7</f>
        <v>-43592.27848842571</v>
      </c>
      <c r="F7" s="10">
        <f>'Project 4'!N7</f>
        <v>0</v>
      </c>
      <c r="G7" s="10">
        <f>'Project 5'!M7</f>
        <v>0</v>
      </c>
      <c r="H7" s="10">
        <f>IF(A7-Assumptions!$E$2&lt;0,0,-Assumptions!$E$3*(1+Assumptions!$E$4)^(A7-Assumptions!$E$2))</f>
        <v>0</v>
      </c>
      <c r="I7" s="10"/>
      <c r="J7" s="10">
        <f>SUM(B7:H7)</f>
        <v>315802.4827198306</v>
      </c>
      <c r="K7" s="10">
        <f>IF(A7&gt;=Assumptions!$B$12,Assumptions!$B$14,0)+IF(A7&gt;=Assumptions!$C$12,Assumptions!$C$14,0)+IF(A7&gt;=Assumptions!$D$12,Assumptions!$D$14,0)+IF(A7&gt;=Assumptions!$E$12,Assumptions!$E$14,0)+IF(A7&gt;=Assumptions!$F$12,Assumptions!$F$14,0)</f>
        <v>2750000</v>
      </c>
      <c r="L7" s="10">
        <f>J7+K7</f>
        <v>3065802.4827198307</v>
      </c>
      <c r="M7" s="10">
        <f>'Project 1'!G7+'Project 2'!G7+'Project 3'!G7+'Project 4'!G7+'Project 5'!F7</f>
        <v>2509775.67889079</v>
      </c>
      <c r="N7" s="10">
        <f>L7-M7</f>
        <v>556026.8038290408</v>
      </c>
    </row>
    <row r="8" spans="1:14" ht="12.75">
      <c r="A8" s="21">
        <f>Assumptions!$H8</f>
        <v>2021</v>
      </c>
      <c r="B8" s="26">
        <f>J7</f>
        <v>315802.4827198306</v>
      </c>
      <c r="C8" s="10">
        <f>'Project 1'!M8</f>
        <v>54148.22723440695</v>
      </c>
      <c r="D8" s="10">
        <f>'Project 2'!N8</f>
        <v>75513.62985572644</v>
      </c>
      <c r="E8" s="10">
        <f>'Project 3'!N8</f>
        <v>118015.44302314855</v>
      </c>
      <c r="F8" s="10">
        <f>'Project 4'!N8</f>
        <v>0</v>
      </c>
      <c r="G8" s="10">
        <f>'Project 5'!M8</f>
        <v>0</v>
      </c>
      <c r="H8" s="10">
        <f>IF(A8-Assumptions!$E$2&lt;0,0,-Assumptions!$E$3*(1+Assumptions!$E$4)^(A8-Assumptions!$E$2))</f>
        <v>0</v>
      </c>
      <c r="I8" s="10"/>
      <c r="J8" s="10">
        <f>SUM(B8:H8)</f>
        <v>563479.7828331125</v>
      </c>
      <c r="K8" s="10">
        <f>IF(A8&gt;=Assumptions!$B$12,Assumptions!$B$14,0)+IF(A8&gt;=Assumptions!$C$12,Assumptions!$C$14,0)+IF(A8&gt;=Assumptions!$D$12,Assumptions!$D$14,0)+IF(A8&gt;=Assumptions!$E$12,Assumptions!$E$14,0)+IF(A8&gt;=Assumptions!$F$12,Assumptions!$F$14,0)</f>
        <v>2750000</v>
      </c>
      <c r="L8" s="10">
        <f>J8+K8</f>
        <v>3313479.7828331124</v>
      </c>
      <c r="M8" s="10">
        <f>'Project 1'!G8+'Project 2'!G8+'Project 3'!G8+'Project 4'!G8+'Project 5'!F8</f>
        <v>2434424.401448216</v>
      </c>
      <c r="N8" s="10">
        <f>L8-M8</f>
        <v>879055.3813848966</v>
      </c>
    </row>
    <row r="9" spans="1:14" ht="12.75">
      <c r="A9" s="21">
        <f>Assumptions!$H9</f>
        <v>2022</v>
      </c>
      <c r="B9" s="26">
        <f>J8</f>
        <v>563479.7828331125</v>
      </c>
      <c r="C9" s="10">
        <f>'Project 1'!M9</f>
        <v>59136.66488440696</v>
      </c>
      <c r="D9" s="10">
        <f>'Project 2'!N9</f>
        <v>83431.78485572644</v>
      </c>
      <c r="E9" s="10">
        <f>'Project 3'!N9</f>
        <v>128275.44302314855</v>
      </c>
      <c r="F9" s="10">
        <f>'Project 4'!N9</f>
        <v>-55540.01734467389</v>
      </c>
      <c r="G9" s="10">
        <f>'Project 5'!M9</f>
        <v>0</v>
      </c>
      <c r="H9" s="10">
        <f>IF(A9-Assumptions!$E$2&lt;0,0,-Assumptions!$E$3*(1+Assumptions!$E$4)^(A9-Assumptions!$E$2))</f>
        <v>0</v>
      </c>
      <c r="I9" s="10"/>
      <c r="J9" s="10">
        <f>SUM(B9:H9)</f>
        <v>778783.6582517206</v>
      </c>
      <c r="K9" s="10">
        <f>IF(A9&gt;=Assumptions!$B$12,Assumptions!$B$14,0)+IF(A9&gt;=Assumptions!$C$12,Assumptions!$C$14,0)+IF(A9&gt;=Assumptions!$D$12,Assumptions!$D$14,0)+IF(A9&gt;=Assumptions!$E$12,Assumptions!$E$14,0)+IF(A9&gt;=Assumptions!$F$12,Assumptions!$F$14,0)</f>
        <v>4250000</v>
      </c>
      <c r="L9" s="10">
        <f>J9+K9</f>
        <v>5028783.6582517205</v>
      </c>
      <c r="M9" s="10">
        <f>'Project 1'!G9+'Project 2'!G9+'Project 3'!G9+'Project 4'!G9+'Project 5'!F9</f>
        <v>3839843.567286903</v>
      </c>
      <c r="N9" s="10">
        <f>L9-M9</f>
        <v>1188940.0909648174</v>
      </c>
    </row>
    <row r="10" spans="1:14" ht="12.75">
      <c r="A10" s="21">
        <f>Assumptions!$H10</f>
        <v>2023</v>
      </c>
      <c r="B10" s="26">
        <f>J9</f>
        <v>778783.6582517206</v>
      </c>
      <c r="C10" s="10">
        <f>'Project 1'!M10</f>
        <v>64374.52441690698</v>
      </c>
      <c r="D10" s="10">
        <f>'Project 2'!N10</f>
        <v>91745.84760572645</v>
      </c>
      <c r="E10" s="10">
        <f>'Project 3'!N10</f>
        <v>119106.93478088867</v>
      </c>
      <c r="F10" s="10">
        <f>'Project 4'!N10</f>
        <v>381399.9653106522</v>
      </c>
      <c r="G10" s="10">
        <f>'Project 5'!M10</f>
        <v>0</v>
      </c>
      <c r="H10" s="10">
        <f>IF(A10-Assumptions!$E$2&lt;0,0,-Assumptions!$E$3*(1+Assumptions!$E$4)^(A10-Assumptions!$E$2))</f>
        <v>0</v>
      </c>
      <c r="I10" s="10"/>
      <c r="J10" s="10">
        <f>SUM(B10:H10)</f>
        <v>1435410.930365895</v>
      </c>
      <c r="K10" s="10">
        <f>IF(A10&gt;=Assumptions!$B$12,Assumptions!$B$14,0)+IF(A10&gt;=Assumptions!$C$12,Assumptions!$C$14,0)+IF(A10&gt;=Assumptions!$D$12,Assumptions!$D$14,0)+IF(A10&gt;=Assumptions!$E$12,Assumptions!$E$14,0)+IF(A10&gt;=Assumptions!$F$12,Assumptions!$F$14,0)</f>
        <v>4250000</v>
      </c>
      <c r="L10" s="10">
        <f>J10+K10</f>
        <v>5685410.930365895</v>
      </c>
      <c r="M10" s="10">
        <f>'Project 1'!G10+'Project 2'!G10+'Project 3'!G10+'Project 4'!G10+'Project 5'!F10</f>
        <v>3722842.381367832</v>
      </c>
      <c r="N10" s="10">
        <f>L10-M10</f>
        <v>1962568.548998063</v>
      </c>
    </row>
    <row r="11" spans="1:14" ht="12.75">
      <c r="A11" s="21">
        <f>Assumptions!$H11</f>
        <v>2024</v>
      </c>
      <c r="B11" s="26">
        <f>J10</f>
        <v>1435410.930365895</v>
      </c>
      <c r="C11" s="10">
        <f>'Project 1'!M11</f>
        <v>69874.27692603198</v>
      </c>
      <c r="D11" s="10">
        <f>'Project 2'!N11</f>
        <v>100475.61349322647</v>
      </c>
      <c r="E11" s="10">
        <f>'Project 3'!N11</f>
        <v>130418.58478088869</v>
      </c>
      <c r="F11" s="10">
        <f>'Project 4'!N11</f>
        <v>406023.9653106522</v>
      </c>
      <c r="G11" s="10">
        <f>'Project 5'!M11</f>
        <v>-156947.50661173023</v>
      </c>
      <c r="H11" s="10">
        <f>IF(A11-Assumptions!$E$2&lt;0,0,-Assumptions!$E$3*(1+Assumptions!$E$4)^(A11-Assumptions!$E$2))</f>
        <v>0</v>
      </c>
      <c r="I11" s="10"/>
      <c r="J11" s="10">
        <f>SUM(B11:H11)</f>
        <v>1985255.8642649641</v>
      </c>
      <c r="K11" s="10">
        <f>IF(A11&gt;=Assumptions!$B$12,Assumptions!$B$14,0)+IF(A11&gt;=Assumptions!$C$12,Assumptions!$C$14,0)+IF(A11&gt;=Assumptions!$D$12,Assumptions!$D$14,0)+IF(A11&gt;=Assumptions!$E$12,Assumptions!$E$14,0)+IF(A11&gt;=Assumptions!$F$12,Assumptions!$F$14,0)</f>
        <v>6250000</v>
      </c>
      <c r="L11" s="10">
        <f>J11+K11</f>
        <v>8235255.864264964</v>
      </c>
      <c r="M11" s="10">
        <f>'Project 1'!G11+'Project 2'!G11+'Project 3'!G11+'Project 4'!G11+'Project 5'!F11</f>
        <v>5562007.417538153</v>
      </c>
      <c r="N11" s="10">
        <f>L11-M11</f>
        <v>2673248.446726811</v>
      </c>
    </row>
    <row r="12" spans="1:14" ht="12.75">
      <c r="A12" s="21">
        <f>Assumptions!$H12</f>
        <v>2025</v>
      </c>
      <c r="B12" s="26">
        <f>J11</f>
        <v>1985255.8642649641</v>
      </c>
      <c r="C12" s="10">
        <f>'Project 1'!M12</f>
        <v>75649.01706061323</v>
      </c>
      <c r="D12" s="10">
        <f>'Project 2'!N12</f>
        <v>109641.8676751015</v>
      </c>
      <c r="E12" s="10">
        <f>'Project 3'!N12</f>
        <v>142295.81728088867</v>
      </c>
      <c r="F12" s="10">
        <f>'Project 4'!N12</f>
        <v>402195.7491193449</v>
      </c>
      <c r="G12" s="10">
        <f>'Project 5'!M12</f>
        <v>937452.4933882699</v>
      </c>
      <c r="H12" s="10">
        <f>IF(A12-Assumptions!$E$2&lt;0,0,-Assumptions!$E$3*(1+Assumptions!$E$4)^(A12-Assumptions!$E$2))</f>
        <v>-500000</v>
      </c>
      <c r="I12" s="10"/>
      <c r="J12" s="10">
        <f>SUM(B12:H12)</f>
        <v>3152490.8087891825</v>
      </c>
      <c r="K12" s="10">
        <f>IF(A12&gt;=Assumptions!$B$12,Assumptions!$B$14,0)+IF(A12&gt;=Assumptions!$C$12,Assumptions!$C$14,0)+IF(A12&gt;=Assumptions!$D$12,Assumptions!$D$14,0)+IF(A12&gt;=Assumptions!$E$12,Assumptions!$E$14,0)+IF(A12&gt;=Assumptions!$F$12,Assumptions!$F$14,0)</f>
        <v>6250000</v>
      </c>
      <c r="L12" s="10">
        <f>J12+K12</f>
        <v>9402490.808789182</v>
      </c>
      <c r="M12" s="10">
        <f>'Project 1'!G12+'Project 2'!G12+'Project 3'!G12+'Project 4'!G12+'Project 5'!F12</f>
        <v>5388421.925793784</v>
      </c>
      <c r="N12" s="10">
        <f>L12-M12</f>
        <v>4014068.8829953987</v>
      </c>
    </row>
    <row r="13" spans="1:14" ht="12.75">
      <c r="A13" s="21">
        <f>Assumptions!$H13</f>
        <v>2026</v>
      </c>
      <c r="B13" s="26">
        <f>J12</f>
        <v>3152490.8087891825</v>
      </c>
      <c r="C13" s="10">
        <f>'Project 1'!M13</f>
        <v>81712.49420192353</v>
      </c>
      <c r="D13" s="10">
        <f>'Project 2'!N13</f>
        <v>119266.43456607027</v>
      </c>
      <c r="E13" s="10">
        <f>'Project 3'!N13</f>
        <v>154766.91140588874</v>
      </c>
      <c r="F13" s="10">
        <f>'Project 4'!N13</f>
        <v>429343.709119345</v>
      </c>
      <c r="G13" s="10">
        <f>'Project 5'!M13</f>
        <v>992172.4933882699</v>
      </c>
      <c r="H13" s="10">
        <f>IF(A13-Assumptions!$E$2&lt;0,0,-Assumptions!$E$3*(1+Assumptions!$E$4)^(A13-Assumptions!$E$2))</f>
        <v>-550000</v>
      </c>
      <c r="I13" s="10"/>
      <c r="J13" s="10">
        <f>SUM(B13:H13)</f>
        <v>4379752.85147068</v>
      </c>
      <c r="K13" s="10">
        <f>IF(A13&gt;=Assumptions!$B$12,Assumptions!$B$14,0)+IF(A13&gt;=Assumptions!$C$12,Assumptions!$C$14,0)+IF(A13&gt;=Assumptions!$D$12,Assumptions!$D$14,0)+IF(A13&gt;=Assumptions!$E$12,Assumptions!$E$14,0)+IF(A13&gt;=Assumptions!$F$12,Assumptions!$F$14,0)</f>
        <v>6250000</v>
      </c>
      <c r="L13" s="10">
        <f>J13+K13</f>
        <v>10629752.851470679</v>
      </c>
      <c r="M13" s="10">
        <f>'Project 1'!G13+'Project 2'!G13+'Project 3'!G13+'Project 4'!G13+'Project 5'!F13</f>
        <v>5203945.935848039</v>
      </c>
      <c r="N13" s="10">
        <f>L13-M13</f>
        <v>5425806.91562264</v>
      </c>
    </row>
    <row r="14" spans="1:14" ht="12.75">
      <c r="A14" s="21">
        <f>Assumptions!$H14</f>
        <v>2027</v>
      </c>
      <c r="B14" s="26">
        <f>J13</f>
        <v>4379752.85147068</v>
      </c>
      <c r="C14" s="10">
        <f>'Project 1'!M14</f>
        <v>88079.14520029939</v>
      </c>
      <c r="D14" s="10">
        <f>'Project 2'!N14</f>
        <v>129372.22980158747</v>
      </c>
      <c r="E14" s="10">
        <f>'Project 3'!N14</f>
        <v>167861.56023713876</v>
      </c>
      <c r="F14" s="10">
        <f>'Project 4'!N14</f>
        <v>457849.06711934495</v>
      </c>
      <c r="G14" s="10">
        <f>'Project 5'!M14</f>
        <v>1049628.49338827</v>
      </c>
      <c r="H14" s="10">
        <f>IF(A14-Assumptions!$E$2&lt;0,0,-Assumptions!$E$3*(1+Assumptions!$E$4)^(A14-Assumptions!$E$2))</f>
        <v>-605000.0000000001</v>
      </c>
      <c r="I14" s="10"/>
      <c r="J14" s="10">
        <f>SUM(B14:H14)</f>
        <v>5667543.34721732</v>
      </c>
      <c r="K14" s="10">
        <f>IF(A14&gt;=Assumptions!$B$12,Assumptions!$B$14,0)+IF(A14&gt;=Assumptions!$C$12,Assumptions!$C$14,0)+IF(A14&gt;=Assumptions!$D$12,Assumptions!$D$14,0)+IF(A14&gt;=Assumptions!$E$12,Assumptions!$E$14,0)+IF(A14&gt;=Assumptions!$F$12,Assumptions!$F$14,0)</f>
        <v>6250000</v>
      </c>
      <c r="L14" s="10">
        <f>J14+K14</f>
        <v>11917543.347217321</v>
      </c>
      <c r="M14" s="10">
        <f>'Project 1'!G14+'Project 2'!G14+'Project 3'!G14+'Project 4'!G14+'Project 5'!F14</f>
        <v>5007883.231306364</v>
      </c>
      <c r="N14" s="10">
        <f>L14-M14</f>
        <v>6909660.115910958</v>
      </c>
    </row>
    <row r="15" spans="1:14" ht="12.75">
      <c r="A15" s="21">
        <f>Assumptions!$H15</f>
        <v>2028</v>
      </c>
      <c r="B15" s="26">
        <f>J14</f>
        <v>5667543.34721732</v>
      </c>
      <c r="C15" s="10">
        <f>'Project 1'!M15</f>
        <v>94764.128748594</v>
      </c>
      <c r="D15" s="10">
        <f>'Project 2'!N15</f>
        <v>139983.31479888048</v>
      </c>
      <c r="E15" s="10">
        <f>'Project 3'!N15</f>
        <v>181610.94150995126</v>
      </c>
      <c r="F15" s="10">
        <f>'Project 4'!N15</f>
        <v>487779.69301934517</v>
      </c>
      <c r="G15" s="10">
        <f>'Project 5'!M15</f>
        <v>1109957.29338827</v>
      </c>
      <c r="H15" s="10">
        <f>IF(A15-Assumptions!$E$2&lt;0,0,-Assumptions!$E$3*(1+Assumptions!$E$4)^(A15-Assumptions!$E$2))</f>
        <v>-665500.0000000002</v>
      </c>
      <c r="I15" s="10"/>
      <c r="J15" s="10">
        <f>SUM(B15:H15)</f>
        <v>7016138.718682361</v>
      </c>
      <c r="K15" s="10">
        <f>IF(A15&gt;=Assumptions!$B$12,Assumptions!$B$14,0)+IF(A15&gt;=Assumptions!$C$12,Assumptions!$C$14,0)+IF(A15&gt;=Assumptions!$D$12,Assumptions!$D$14,0)+IF(A15&gt;=Assumptions!$E$12,Assumptions!$E$14,0)+IF(A15&gt;=Assumptions!$F$12,Assumptions!$F$14,0)</f>
        <v>6250000</v>
      </c>
      <c r="L15" s="10">
        <f>J15+K15</f>
        <v>13266138.71868236</v>
      </c>
      <c r="M15" s="10">
        <f>'Project 1'!G15+'Project 2'!G15+'Project 3'!G15+'Project 4'!G15+'Project 5'!F15</f>
        <v>4799492.277044768</v>
      </c>
      <c r="N15" s="10">
        <f>L15-M15</f>
        <v>8466646.44163759</v>
      </c>
    </row>
    <row r="16" spans="1:14" ht="12.75">
      <c r="A16" s="21">
        <f>Assumptions!$H16</f>
        <v>2029</v>
      </c>
      <c r="B16" s="26">
        <f>J15</f>
        <v>7016138.718682361</v>
      </c>
      <c r="C16" s="10">
        <f>'Project 1'!M16</f>
        <v>101783.36147430335</v>
      </c>
      <c r="D16" s="10">
        <f>'Project 2'!N16</f>
        <v>151124.9540460382</v>
      </c>
      <c r="E16" s="10">
        <f>'Project 3'!N16</f>
        <v>196047.79184640438</v>
      </c>
      <c r="F16" s="10">
        <f>'Project 4'!N16</f>
        <v>519206.85021434515</v>
      </c>
      <c r="G16" s="10">
        <f>'Project 5'!M16</f>
        <v>1173302.5333882703</v>
      </c>
      <c r="H16" s="10">
        <f>IF(A16-Assumptions!$E$2&lt;0,0,-Assumptions!$E$3*(1+Assumptions!$E$4)^(A16-Assumptions!$E$2))</f>
        <v>-732050.0000000002</v>
      </c>
      <c r="I16" s="10"/>
      <c r="J16" s="10">
        <f>SUM(B16:H16)</f>
        <v>8425554.209651722</v>
      </c>
      <c r="K16" s="10">
        <f>IF(A16&gt;=Assumptions!$B$12,Assumptions!$B$14,0)+IF(A16&gt;=Assumptions!$C$12,Assumptions!$C$14,0)+IF(A16&gt;=Assumptions!$D$12,Assumptions!$D$14,0)+IF(A16&gt;=Assumptions!$E$12,Assumptions!$E$14,0)+IF(A16&gt;=Assumptions!$F$12,Assumptions!$F$14,0)</f>
        <v>6250000</v>
      </c>
      <c r="L16" s="10">
        <f>J16+K16</f>
        <v>14675554.209651722</v>
      </c>
      <c r="M16" s="10">
        <f>'Project 1'!G16+'Project 2'!G16+'Project 3'!G16+'Project 4'!G16+'Project 5'!F16</f>
        <v>4577983.218882646</v>
      </c>
      <c r="N16" s="10">
        <f>L16-M16</f>
        <v>10097570.990769075</v>
      </c>
    </row>
    <row r="17" spans="1:14" ht="12.75">
      <c r="A17" s="21">
        <f>Assumptions!$H17</f>
        <v>2030</v>
      </c>
      <c r="B17" s="26">
        <f>J16</f>
        <v>8425554.209651722</v>
      </c>
      <c r="C17" s="10">
        <f>'Project 1'!M17</f>
        <v>109153.55583629818</v>
      </c>
      <c r="D17" s="10">
        <f>'Project 2'!N17</f>
        <v>162823.6752555538</v>
      </c>
      <c r="E17" s="10">
        <f>'Project 3'!N17</f>
        <v>211206.48469968018</v>
      </c>
      <c r="F17" s="10">
        <f>'Project 4'!N17</f>
        <v>552205.3652690952</v>
      </c>
      <c r="G17" s="10">
        <f>'Project 5'!M17</f>
        <v>1239815.0353882702</v>
      </c>
      <c r="H17" s="10">
        <f>IF(A17-Assumptions!$E$2&lt;0,0,-Assumptions!$E$3*(1+Assumptions!$E$4)^(A17-Assumptions!$E$2))</f>
        <v>-805255.0000000002</v>
      </c>
      <c r="I17" s="10"/>
      <c r="J17" s="10">
        <f>SUM(B17:H17)</f>
        <v>9895503.32610062</v>
      </c>
      <c r="K17" s="10">
        <f>IF(A17&gt;=Assumptions!$B$12,Assumptions!$B$14,0)+IF(A17&gt;=Assumptions!$C$12,Assumptions!$C$14,0)+IF(A17&gt;=Assumptions!$D$12,Assumptions!$D$14,0)+IF(A17&gt;=Assumptions!$E$12,Assumptions!$E$14,0)+IF(A17&gt;=Assumptions!$F$12,Assumptions!$F$14,0)</f>
        <v>6250000</v>
      </c>
      <c r="L17" s="10">
        <f>J17+K17</f>
        <v>16145503.32610062</v>
      </c>
      <c r="M17" s="10">
        <f>'Project 1'!G17+'Project 2'!G17+'Project 3'!G17+'Project 4'!G17+'Project 5'!F17</f>
        <v>4342514.681499849</v>
      </c>
      <c r="N17" s="10">
        <f>L17-M17</f>
        <v>11802988.644600771</v>
      </c>
    </row>
    <row r="18" spans="1:14" ht="12.75">
      <c r="A18" s="21">
        <f>Assumptions!$H18</f>
        <v>2031</v>
      </c>
      <c r="B18" s="26">
        <f>J17</f>
        <v>9895503.32610062</v>
      </c>
      <c r="C18" s="10">
        <f>'Project 1'!M18</f>
        <v>116892.25991639277</v>
      </c>
      <c r="D18" s="10">
        <f>'Project 2'!N18</f>
        <v>175107.3325255452</v>
      </c>
      <c r="E18" s="10">
        <f>'Project 3'!N18</f>
        <v>227123.1121956198</v>
      </c>
      <c r="F18" s="10">
        <f>'Project 4'!N18</f>
        <v>586853.8060765826</v>
      </c>
      <c r="G18" s="10">
        <f>'Project 5'!M18</f>
        <v>1309653.1624882703</v>
      </c>
      <c r="H18" s="10">
        <f>IF(A18-Assumptions!$E$2&lt;0,0,-Assumptions!$E$3*(1+Assumptions!$E$4)^(A18-Assumptions!$E$2))</f>
        <v>-885780.5000000005</v>
      </c>
      <c r="I18" s="10"/>
      <c r="J18" s="10">
        <f>SUM(B18:H18)</f>
        <v>11425352.49930303</v>
      </c>
      <c r="K18" s="10">
        <f>IF(A18&gt;=Assumptions!$B$12,Assumptions!$B$14,0)+IF(A18&gt;=Assumptions!$C$12,Assumptions!$C$14,0)+IF(A18&gt;=Assumptions!$D$12,Assumptions!$D$14,0)+IF(A18&gt;=Assumptions!$E$12,Assumptions!$E$14,0)+IF(A18&gt;=Assumptions!$F$12,Assumptions!$F$14,0)</f>
        <v>6250000</v>
      </c>
      <c r="L18" s="10">
        <f>J18+K18</f>
        <v>17675352.499303028</v>
      </c>
      <c r="M18" s="10">
        <f>'Project 1'!G18+'Project 2'!G18+'Project 3'!G18+'Project 4'!G18+'Project 5'!F18</f>
        <v>4092190.3508387674</v>
      </c>
      <c r="N18" s="10">
        <f>L18-M18</f>
        <v>13583162.14846426</v>
      </c>
    </row>
    <row r="19" spans="1:14" ht="12.75">
      <c r="A19" s="21">
        <f>Assumptions!$H19</f>
        <v>2032</v>
      </c>
      <c r="B19" s="26">
        <f>J18</f>
        <v>11425352.49930303</v>
      </c>
      <c r="C19" s="10">
        <f>'Project 1'!M19</f>
        <v>125017.89920049207</v>
      </c>
      <c r="D19" s="10">
        <f>'Project 2'!N19</f>
        <v>188005.17265903618</v>
      </c>
      <c r="E19" s="10">
        <f>'Project 3'!N19</f>
        <v>243835.57106635632</v>
      </c>
      <c r="F19" s="10">
        <f>'Project 4'!N19</f>
        <v>623234.6689244446</v>
      </c>
      <c r="G19" s="10">
        <f>'Project 5'!M19</f>
        <v>1382983.1959432703</v>
      </c>
      <c r="H19" s="10">
        <f>IF(A19-Assumptions!$E$2&lt;0,0,-Assumptions!$E$3*(1+Assumptions!$E$4)^(A19-Assumptions!$E$2))</f>
        <v>-974358.5500000006</v>
      </c>
      <c r="I19" s="10"/>
      <c r="J19" s="10">
        <f>SUM(B19:H19)</f>
        <v>13014070.457096629</v>
      </c>
      <c r="K19" s="10">
        <f>IF(A19&gt;=Assumptions!$B$12,Assumptions!$B$14,0)+IF(A19&gt;=Assumptions!$C$12,Assumptions!$C$14,0)+IF(A19&gt;=Assumptions!$D$12,Assumptions!$D$14,0)+IF(A19&gt;=Assumptions!$E$12,Assumptions!$E$14,0)+IF(A19&gt;=Assumptions!$F$12,Assumptions!$F$14,0)</f>
        <v>6250000</v>
      </c>
      <c r="L19" s="10">
        <f>J19+K19</f>
        <v>19264070.45709663</v>
      </c>
      <c r="M19" s="10">
        <f>'Project 1'!G19+'Project 2'!G19+'Project 3'!G19+'Project 4'!G19+'Project 5'!F19</f>
        <v>3826055.3262820384</v>
      </c>
      <c r="N19" s="10">
        <f>L19-M19</f>
        <v>15438015.13081459</v>
      </c>
    </row>
    <row r="20" spans="1:14" ht="12.75">
      <c r="A20" s="21">
        <f>Assumptions!$H20</f>
        <v>2033</v>
      </c>
      <c r="B20" s="26">
        <f>J19</f>
        <v>13014070.457096629</v>
      </c>
      <c r="C20" s="10">
        <f>'Project 1'!M20</f>
        <v>133549.82044879632</v>
      </c>
      <c r="D20" s="10">
        <f>'Project 2'!N20</f>
        <v>201547.9047992017</v>
      </c>
      <c r="E20" s="10">
        <f>'Project 3'!N20</f>
        <v>261383.65288062976</v>
      </c>
      <c r="F20" s="10">
        <f>'Project 4'!N20</f>
        <v>661434.5749146997</v>
      </c>
      <c r="G20" s="10">
        <f>'Project 5'!M20</f>
        <v>1459979.7310710205</v>
      </c>
      <c r="H20" s="10">
        <f>IF(A20-Assumptions!$E$2&lt;0,0,-Assumptions!$E$3*(1+Assumptions!$E$4)^(A20-Assumptions!$E$2))</f>
        <v>-1071794.4050000007</v>
      </c>
      <c r="I20" s="10"/>
      <c r="J20" s="10">
        <f>SUM(B20:H20)</f>
        <v>14660171.736210976</v>
      </c>
      <c r="K20" s="10">
        <f>IF(A20&gt;=Assumptions!$B$12,Assumptions!$B$14,0)+IF(A20&gt;=Assumptions!$C$12,Assumptions!$C$14,0)+IF(A20&gt;=Assumptions!$D$12,Assumptions!$D$14,0)+IF(A20&gt;=Assumptions!$E$12,Assumptions!$E$14,0)+IF(A20&gt;=Assumptions!$F$12,Assumptions!$F$14,0)</f>
        <v>6250000</v>
      </c>
      <c r="L20" s="10">
        <f>J20+K20</f>
        <v>20910171.736210976</v>
      </c>
      <c r="M20" s="10">
        <f>'Project 1'!G20+'Project 2'!G20+'Project 3'!G20+'Project 4'!G20+'Project 5'!F20</f>
        <v>3543092.2268799692</v>
      </c>
      <c r="N20" s="10">
        <f>L20-M20</f>
        <v>17367079.509331007</v>
      </c>
    </row>
    <row r="21" spans="1:14" ht="12.75">
      <c r="A21" s="21">
        <f>Assumptions!$H21</f>
        <v>2034</v>
      </c>
      <c r="B21" s="26">
        <f>J20</f>
        <v>14660171.736210976</v>
      </c>
      <c r="C21" s="10">
        <f>'Project 1'!M21</f>
        <v>142508.3377595158</v>
      </c>
      <c r="D21" s="10">
        <f>'Project 2'!N21</f>
        <v>215767.77354637545</v>
      </c>
      <c r="E21" s="10">
        <f>'Project 3'!N21</f>
        <v>279809.13878561684</v>
      </c>
      <c r="F21" s="10">
        <f>'Project 4'!N21</f>
        <v>701544.4762044672</v>
      </c>
      <c r="G21" s="10">
        <f>'Project 5'!M21</f>
        <v>1540826.092955158</v>
      </c>
      <c r="H21" s="10">
        <f>IF(A21-Assumptions!$E$2&lt;0,0,-Assumptions!$E$3*(1+Assumptions!$E$4)^(A21-Assumptions!$E$2))</f>
        <v>-1178973.845500001</v>
      </c>
      <c r="I21" s="10"/>
      <c r="J21" s="10">
        <f>SUM(B21:H21)</f>
        <v>16361653.709962107</v>
      </c>
      <c r="K21" s="10">
        <f>IF(A21&gt;=Assumptions!$B$12,Assumptions!$B$14,0)+IF(A21&gt;=Assumptions!$C$12,Assumptions!$C$14,0)+IF(A21&gt;=Assumptions!$D$12,Assumptions!$D$14,0)+IF(A21&gt;=Assumptions!$E$12,Assumptions!$E$14,0)+IF(A21&gt;=Assumptions!$F$12,Assumptions!$F$14,0)</f>
        <v>6250000</v>
      </c>
      <c r="L21" s="10">
        <f>J21+K21</f>
        <v>22611653.709962107</v>
      </c>
      <c r="M21" s="10">
        <f>'Project 1'!G21+'Project 2'!G21+'Project 3'!G21+'Project 4'!G21+'Project 5'!F21</f>
        <v>3242217.034814272</v>
      </c>
      <c r="N21" s="10">
        <f>L21-M21</f>
        <v>19369436.675147835</v>
      </c>
    </row>
    <row r="22" spans="1:14" ht="12.75">
      <c r="A22" s="21">
        <f>Assumptions!$H22</f>
        <v>2035</v>
      </c>
      <c r="B22" s="26">
        <f>J21</f>
        <v>16361653.709962107</v>
      </c>
      <c r="C22" s="10">
        <f>'Project 1'!M22</f>
        <v>151914.78093577124</v>
      </c>
      <c r="D22" s="10">
        <f>'Project 2'!N22</f>
        <v>230698.63573090784</v>
      </c>
      <c r="E22" s="10">
        <f>'Project 3'!N22</f>
        <v>299155.89898585324</v>
      </c>
      <c r="F22" s="10">
        <f>'Project 4'!N22</f>
        <v>743659.8725587237</v>
      </c>
      <c r="G22" s="10">
        <f>'Project 5'!M22</f>
        <v>1625714.7729335024</v>
      </c>
      <c r="H22" s="10">
        <f>IF(A22-Assumptions!$E$2&lt;0,0,-Assumptions!$E$3*(1+Assumptions!$E$4)^(A22-Assumptions!$E$2))</f>
        <v>-1296871.230050001</v>
      </c>
      <c r="I22" s="10"/>
      <c r="J22" s="10">
        <f>SUM(B22:H22)</f>
        <v>18115926.441056866</v>
      </c>
      <c r="K22" s="10">
        <f>IF(A22&gt;=Assumptions!$B$12,Assumptions!$B$14,0)+IF(A22&gt;=Assumptions!$C$12,Assumptions!$C$14,0)+IF(A22&gt;=Assumptions!$D$12,Assumptions!$D$14,0)+IF(A22&gt;=Assumptions!$E$12,Assumptions!$E$14,0)+IF(A22&gt;=Assumptions!$F$12,Assumptions!$F$14,0)</f>
        <v>6250000</v>
      </c>
      <c r="L22" s="10">
        <f>J22+K22</f>
        <v>24365926.441056866</v>
      </c>
      <c r="M22" s="10">
        <f>'Project 1'!G22+'Project 2'!G22+'Project 3'!G22+'Project 4'!G22+'Project 5'!F22</f>
        <v>2922274.6581211435</v>
      </c>
      <c r="N22" s="10">
        <f>L22-M22</f>
        <v>21443651.782935724</v>
      </c>
    </row>
    <row r="23" spans="1:14" ht="12.75">
      <c r="A23" s="21">
        <f>Assumptions!$H23</f>
        <v>2036</v>
      </c>
      <c r="B23" s="26">
        <f>J22</f>
        <v>18115926.441056866</v>
      </c>
      <c r="C23" s="10">
        <f>'Project 1'!M23</f>
        <v>161791.54627083946</v>
      </c>
      <c r="D23" s="10">
        <f>'Project 2'!N23</f>
        <v>246376.04102466698</v>
      </c>
      <c r="E23" s="10">
        <f>'Project 3'!N23</f>
        <v>319469.9971961015</v>
      </c>
      <c r="F23" s="10">
        <f>'Project 4'!N23</f>
        <v>787881.0387306926</v>
      </c>
      <c r="G23" s="10">
        <f>'Project 5'!M23</f>
        <v>1714847.8869107643</v>
      </c>
      <c r="H23" s="10">
        <f>IF(A23-Assumptions!$E$2&lt;0,0,-Assumptions!$E$3*(1+Assumptions!$E$4)^(A23-Assumptions!$E$2))</f>
        <v>-1426558.3530550012</v>
      </c>
      <c r="I23" s="10"/>
      <c r="J23" s="10">
        <f>SUM(B23:H23)</f>
        <v>19919734.59813493</v>
      </c>
      <c r="K23" s="10">
        <f>IF(A23&gt;=Assumptions!$B$12,Assumptions!$B$14,0)+IF(A23&gt;=Assumptions!$C$12,Assumptions!$C$14,0)+IF(A23&gt;=Assumptions!$D$12,Assumptions!$D$14,0)+IF(A23&gt;=Assumptions!$E$12,Assumptions!$E$14,0)+IF(A23&gt;=Assumptions!$F$12,Assumptions!$F$14,0)</f>
        <v>6250000</v>
      </c>
      <c r="L23" s="10">
        <f>J23+K23</f>
        <v>26169734.59813493</v>
      </c>
      <c r="M23" s="10">
        <f>'Project 1'!G23+'Project 2'!G23+'Project 3'!G23+'Project 4'!G23+'Project 5'!F23</f>
        <v>2582034.193451808</v>
      </c>
      <c r="N23" s="10">
        <f>L23-M23</f>
        <v>23587700.404683124</v>
      </c>
    </row>
    <row r="24" spans="1:14" ht="12.75">
      <c r="A24" s="21">
        <f>Assumptions!$H24</f>
        <v>2037</v>
      </c>
      <c r="B24" s="26">
        <f>J23</f>
        <v>19919734.59813493</v>
      </c>
      <c r="C24" s="10">
        <f>'Project 1'!M24</f>
        <v>172162.1498726611</v>
      </c>
      <c r="D24" s="10">
        <f>'Project 2'!N24</f>
        <v>262837.316583114</v>
      </c>
      <c r="E24" s="10">
        <f>'Project 3'!N24</f>
        <v>340799.80031686206</v>
      </c>
      <c r="F24" s="10">
        <f>'Project 4'!N24</f>
        <v>834313.2632112601</v>
      </c>
      <c r="G24" s="10">
        <f>'Project 5'!M24</f>
        <v>1808437.656586889</v>
      </c>
      <c r="H24" s="10">
        <f>IF(A24-Assumptions!$E$2&lt;0,0,-Assumptions!$E$3*(1+Assumptions!$E$4)^(A24-Assumptions!$E$2))</f>
        <v>-1569214.1883605015</v>
      </c>
      <c r="I24" s="10"/>
      <c r="J24" s="10">
        <f>SUM(B24:H24)</f>
        <v>21769070.596345216</v>
      </c>
      <c r="K24" s="10">
        <f>IF(A24&gt;=Assumptions!$B$12,Assumptions!$B$14,0)+IF(A24&gt;=Assumptions!$C$12,Assumptions!$C$14,0)+IF(A24&gt;=Assumptions!$D$12,Assumptions!$D$14,0)+IF(A24&gt;=Assumptions!$E$12,Assumptions!$E$14,0)+IF(A24&gt;=Assumptions!$F$12,Assumptions!$F$14,0)</f>
        <v>6250000</v>
      </c>
      <c r="L24" s="10">
        <f>J24+K24</f>
        <v>28019070.596345216</v>
      </c>
      <c r="M24" s="10">
        <f>'Project 1'!G24+'Project 2'!G24+'Project 3'!G24+'Project 4'!G24+'Project 5'!F24</f>
        <v>2220183.868316564</v>
      </c>
      <c r="N24" s="10">
        <f>L24-M24</f>
        <v>25798886.72802865</v>
      </c>
    </row>
    <row r="25" spans="1:14" ht="12.75">
      <c r="A25" s="21">
        <f>Assumptions!$H25</f>
        <v>2038</v>
      </c>
      <c r="B25" s="26">
        <f>J24</f>
        <v>21769070.596345216</v>
      </c>
      <c r="C25" s="10">
        <f>'Project 1'!M25</f>
        <v>183051.28365457384</v>
      </c>
      <c r="D25" s="10">
        <f>'Project 2'!N25</f>
        <v>280121.65591948346</v>
      </c>
      <c r="E25" s="10">
        <f>'Project 3'!N25</f>
        <v>363196.09359366086</v>
      </c>
      <c r="F25" s="10">
        <f>'Project 4'!N25</f>
        <v>883067.0989158559</v>
      </c>
      <c r="G25" s="10">
        <f>'Project 5'!M25</f>
        <v>1906706.9147468202</v>
      </c>
      <c r="H25" s="10">
        <f>IF(A25-Assumptions!$E$2&lt;0,0,-Assumptions!$E$3*(1+Assumptions!$E$4)^(A25-Assumptions!$E$2))</f>
        <v>-1726135.607196552</v>
      </c>
      <c r="I25" s="10"/>
      <c r="J25" s="10">
        <f>SUM(B25:H25)</f>
        <v>23659078.03597906</v>
      </c>
      <c r="K25" s="10">
        <f>IF(A25&gt;=Assumptions!$B$12,Assumptions!$B$14,0)+IF(A25&gt;=Assumptions!$C$12,Assumptions!$C$14,0)+IF(A25&gt;=Assumptions!$D$12,Assumptions!$D$14,0)+IF(A25&gt;=Assumptions!$E$12,Assumptions!$E$14,0)+IF(A25&gt;=Assumptions!$F$12,Assumptions!$F$14,0)</f>
        <v>6250000</v>
      </c>
      <c r="L25" s="10">
        <f>J25+K25</f>
        <v>29909078.03597906</v>
      </c>
      <c r="M25" s="10">
        <f>'Project 1'!G25+'Project 2'!G25+'Project 3'!G25+'Project 4'!G25+'Project 5'!F25</f>
        <v>1835325.6408330174</v>
      </c>
      <c r="N25" s="10">
        <f>L25-M25</f>
        <v>28073752.395146042</v>
      </c>
    </row>
    <row r="26" spans="1:14" ht="12.75">
      <c r="A26" s="21">
        <f>Assumptions!$H26</f>
        <v>2039</v>
      </c>
      <c r="B26" s="26">
        <f>J25</f>
        <v>23659078.03597906</v>
      </c>
      <c r="C26" s="10">
        <f>'Project 1'!M26</f>
        <v>240105.39989117527</v>
      </c>
      <c r="D26" s="10">
        <f>'Project 2'!N26</f>
        <v>298270.21222267125</v>
      </c>
      <c r="E26" s="10">
        <f>'Project 3'!N26</f>
        <v>386712.2015342994</v>
      </c>
      <c r="F26" s="10">
        <f>'Project 4'!N26</f>
        <v>934258.6264056813</v>
      </c>
      <c r="G26" s="10">
        <f>'Project 5'!M26</f>
        <v>2009889.635814748</v>
      </c>
      <c r="H26" s="10">
        <f>IF(A26-Assumptions!$E$2&lt;0,0,-Assumptions!$E$3*(1+Assumptions!$E$4)^(A26-Assumptions!$E$2))</f>
        <v>-1898749.167916207</v>
      </c>
      <c r="I26" s="10"/>
      <c r="J26" s="10">
        <f>SUM(B26:H26)</f>
        <v>25629564.943931427</v>
      </c>
      <c r="K26" s="10">
        <f>IF(A26&gt;=Assumptions!$B$12,Assumptions!$B$14,0)+IF(A26&gt;=Assumptions!$C$12,Assumptions!$C$14,0)+IF(A26&gt;=Assumptions!$D$12,Assumptions!$D$14,0)+IF(A26&gt;=Assumptions!$E$12,Assumptions!$E$14,0)+IF(A26&gt;=Assumptions!$F$12,Assumptions!$F$14,0)</f>
        <v>6250000</v>
      </c>
      <c r="L26" s="10">
        <f>J26+K26</f>
        <v>31879564.943931427</v>
      </c>
      <c r="M26" s="10">
        <f>'Project 1'!G26+'Project 2'!G26+'Project 3'!G26+'Project 4'!G26+'Project 5'!F26</f>
        <v>1471589.959239522</v>
      </c>
      <c r="N26" s="10">
        <f>L26-M26</f>
        <v>30407974.984691903</v>
      </c>
    </row>
    <row r="27" spans="1:14" ht="12.75">
      <c r="A27" s="21">
        <f>Assumptions!$H27</f>
        <v>2040</v>
      </c>
      <c r="B27" s="26">
        <f>J26</f>
        <v>25629564.943931427</v>
      </c>
      <c r="C27" s="10">
        <f>'Project 1'!M27</f>
        <v>252110.669885734</v>
      </c>
      <c r="D27" s="10">
        <f>'Project 2'!N27</f>
        <v>317326.19634101854</v>
      </c>
      <c r="E27" s="10">
        <f>'Project 3'!N27</f>
        <v>411404.11487197</v>
      </c>
      <c r="F27" s="10">
        <f>'Project 4'!N27</f>
        <v>988009.7302699981</v>
      </c>
      <c r="G27" s="10">
        <f>'Project 5'!M27</f>
        <v>2118231.492936072</v>
      </c>
      <c r="H27" s="10">
        <f>IF(A27-Assumptions!$E$2&lt;0,0,-Assumptions!$E$3*(1+Assumptions!$E$4)^(A27-Assumptions!$E$2))</f>
        <v>-2088624.084707828</v>
      </c>
      <c r="I27" s="10"/>
      <c r="J27" s="10">
        <f>SUM(B27:H27)</f>
        <v>27628023.063528392</v>
      </c>
      <c r="K27" s="10">
        <f>IF(A27&gt;=Assumptions!$B$12,Assumptions!$B$14,0)+IF(A27&gt;=Assumptions!$C$12,Assumptions!$C$14,0)+IF(A27&gt;=Assumptions!$D$12,Assumptions!$D$14,0)+IF(A27&gt;=Assumptions!$E$12,Assumptions!$E$14,0)+IF(A27&gt;=Assumptions!$F$12,Assumptions!$F$14,0)</f>
        <v>6250000</v>
      </c>
      <c r="L27" s="10">
        <f>J27+K27</f>
        <v>33878023.06352839</v>
      </c>
      <c r="M27" s="10">
        <f>'Project 1'!G27+'Project 2'!G27+'Project 3'!G27+'Project 4'!G27+'Project 5'!F27</f>
        <v>1084049.0534973983</v>
      </c>
      <c r="N27" s="10">
        <f>L27-M27</f>
        <v>32793974.010030992</v>
      </c>
    </row>
    <row r="28" spans="1:14" ht="12.75">
      <c r="A28" s="21">
        <f>Assumptions!$H28</f>
        <v>2041</v>
      </c>
      <c r="B28" s="26">
        <f>J27</f>
        <v>27628023.063528392</v>
      </c>
      <c r="C28" s="10">
        <f>'Project 1'!M28</f>
        <v>264716.2033800207</v>
      </c>
      <c r="D28" s="10">
        <f>'Project 2'!N28</f>
        <v>420184.44980955677</v>
      </c>
      <c r="E28" s="10">
        <f>'Project 3'!N28</f>
        <v>437330.6238765241</v>
      </c>
      <c r="F28" s="10">
        <f>'Project 4'!N28</f>
        <v>1044448.3893275307</v>
      </c>
      <c r="G28" s="10">
        <f>'Project 5'!M28</f>
        <v>2231990.4429134615</v>
      </c>
      <c r="H28" s="10">
        <f>IF(A28-Assumptions!$E$2&lt;0,0,-Assumptions!$E$3*(1+Assumptions!$E$4)^(A28-Assumptions!$E$2))</f>
        <v>-2297486.493178611</v>
      </c>
      <c r="I28" s="10"/>
      <c r="J28" s="10">
        <f>SUM(B28:H28)</f>
        <v>29729206.679656874</v>
      </c>
      <c r="K28" s="10">
        <f>IF(A28&gt;=Assumptions!$B$12,Assumptions!$B$14,0)+IF(A28&gt;=Assumptions!$C$12,Assumptions!$C$14,0)+IF(A28&gt;=Assumptions!$D$12,Assumptions!$D$14,0)+IF(A28&gt;=Assumptions!$E$12,Assumptions!$E$14,0)+IF(A28&gt;=Assumptions!$F$12,Assumptions!$F$14,0)</f>
        <v>6250000</v>
      </c>
      <c r="L28" s="10">
        <f>J28+K28</f>
        <v>35979206.67965688</v>
      </c>
      <c r="M28" s="10">
        <f>'Project 1'!G28+'Project 2'!G28+'Project 3'!G28+'Project 4'!G28+'Project 5'!F28</f>
        <v>753973.406059949</v>
      </c>
      <c r="N28" s="10">
        <f>L28-M28</f>
        <v>35225233.27359693</v>
      </c>
    </row>
    <row r="29" spans="1:14" ht="12.75">
      <c r="A29" s="21">
        <f>Assumptions!$H29</f>
        <v>2042</v>
      </c>
      <c r="B29" s="26">
        <f>J28</f>
        <v>29729206.679656874</v>
      </c>
      <c r="C29" s="10">
        <f>'Project 1'!M29</f>
        <v>277952.0135490218</v>
      </c>
      <c r="D29" s="10">
        <f>'Project 2'!N29</f>
        <v>441193.6723000346</v>
      </c>
      <c r="E29" s="10">
        <f>'Project 3'!N29</f>
        <v>464553.45833130594</v>
      </c>
      <c r="F29" s="10">
        <f>'Project 4'!N29</f>
        <v>1103708.9813379403</v>
      </c>
      <c r="G29" s="10">
        <f>'Project 5'!M29</f>
        <v>2351437.340389722</v>
      </c>
      <c r="H29" s="10">
        <f>IF(A29-Assumptions!$E$2&lt;0,0,-Assumptions!$E$3*(1+Assumptions!$E$4)^(A29-Assumptions!$E$2))</f>
        <v>-2527235.1424964727</v>
      </c>
      <c r="I29" s="10"/>
      <c r="J29" s="10">
        <f>SUM(B29:H29)</f>
        <v>31840817.003068425</v>
      </c>
      <c r="K29" s="10">
        <f>IF(A29&gt;=Assumptions!$B$12,Assumptions!$B$14,0)+IF(A29&gt;=Assumptions!$C$12,Assumptions!$C$14,0)+IF(A29&gt;=Assumptions!$D$12,Assumptions!$D$14,0)+IF(A29&gt;=Assumptions!$E$12,Assumptions!$E$14,0)+IF(A29&gt;=Assumptions!$F$12,Assumptions!$F$14,0)</f>
        <v>6250000</v>
      </c>
      <c r="L29" s="10">
        <f>J29+K29</f>
        <v>38090817.003068425</v>
      </c>
      <c r="M29" s="10">
        <f>'Project 1'!G29+'Project 2'!G29+'Project 3'!G29+'Project 4'!G29+'Project 5'!F29</f>
        <v>401385.1918882651</v>
      </c>
      <c r="N29" s="10">
        <f>L29-M29</f>
        <v>37689431.81118016</v>
      </c>
    </row>
    <row r="30" spans="1:14" ht="12.75">
      <c r="A30" s="21">
        <f>Assumptions!$H30</f>
        <v>2043</v>
      </c>
      <c r="B30" s="26">
        <f>J29</f>
        <v>31840817.003068425</v>
      </c>
      <c r="C30" s="10">
        <f>'Project 1'!M30</f>
        <v>291849.6142264729</v>
      </c>
      <c r="D30" s="10">
        <f>'Project 2'!N30</f>
        <v>463253.35591503634</v>
      </c>
      <c r="E30" s="10">
        <f>'Project 3'!N30</f>
        <v>600263.4997279381</v>
      </c>
      <c r="F30" s="10">
        <f>'Project 4'!N30</f>
        <v>1165932.60294887</v>
      </c>
      <c r="G30" s="10">
        <f>'Project 5'!M30</f>
        <v>2476856.5827397946</v>
      </c>
      <c r="H30" s="10">
        <f>IF(A30-Assumptions!$E$2&lt;0,0,-Assumptions!$E$3*(1+Assumptions!$E$4)^(A30-Assumptions!$E$2))</f>
        <v>-2779958.6567461197</v>
      </c>
      <c r="I30" s="10"/>
      <c r="J30" s="10">
        <f>SUM(B30:H30)</f>
        <v>34059014.001880415</v>
      </c>
      <c r="K30" s="10">
        <f>IF(A30&gt;=Assumptions!$B$12,Assumptions!$B$14,0)+IF(A30&gt;=Assumptions!$C$12,Assumptions!$C$14,0)+IF(A30&gt;=Assumptions!$D$12,Assumptions!$D$14,0)+IF(A30&gt;=Assumptions!$E$12,Assumptions!$E$14,0)+IF(A30&gt;=Assumptions!$F$12,Assumptions!$F$14,0)</f>
        <v>6250000</v>
      </c>
      <c r="L30" s="10">
        <f>J30+K30</f>
        <v>40309014.001880415</v>
      </c>
      <c r="M30" s="10">
        <f>'Project 1'!G30+'Project 2'!G30+'Project 3'!G30+'Project 4'!G30+'Project 5'!F30</f>
        <v>131862.7174526056</v>
      </c>
      <c r="N30" s="10">
        <f>L30-M30</f>
        <v>40177151.28442781</v>
      </c>
    </row>
    <row r="31" spans="1:14" ht="12.75">
      <c r="A31" s="21">
        <f>Assumptions!$H31</f>
        <v>2044</v>
      </c>
      <c r="B31" s="26">
        <f>J30</f>
        <v>34059014.001880415</v>
      </c>
      <c r="C31" s="10">
        <f>'Project 1'!M31</f>
        <v>306442.09493779653</v>
      </c>
      <c r="D31" s="10">
        <f>'Project 2'!N31</f>
        <v>486416.02371078817</v>
      </c>
      <c r="E31" s="10">
        <f>'Project 3'!N31</f>
        <v>630276.674714335</v>
      </c>
      <c r="F31" s="10">
        <f>'Project 4'!N31</f>
        <v>1231267.4056403465</v>
      </c>
      <c r="G31" s="10">
        <f>'Project 5'!M31</f>
        <v>2765494.2938191006</v>
      </c>
      <c r="H31" s="10">
        <f>IF(A31-Assumptions!$E$2&lt;0,0,-Assumptions!$E$3*(1+Assumptions!$E$4)^(A31-Assumptions!$E$2))</f>
        <v>-3057954.522420732</v>
      </c>
      <c r="I31" s="10"/>
      <c r="J31" s="10">
        <f>SUM(B31:H31)</f>
        <v>36420955.97228205</v>
      </c>
      <c r="K31" s="10">
        <f>IF(A31&gt;=Assumptions!$B$12,Assumptions!$B$14,0)+IF(A31&gt;=Assumptions!$C$12,Assumptions!$C$14,0)+IF(A31&gt;=Assumptions!$D$12,Assumptions!$D$14,0)+IF(A31&gt;=Assumptions!$E$12,Assumptions!$E$14,0)+IF(A31&gt;=Assumptions!$F$12,Assumptions!$F$14,0)</f>
        <v>6250000</v>
      </c>
      <c r="L31" s="10">
        <f>J31+K31</f>
        <v>42670955.97228205</v>
      </c>
      <c r="M31" s="10">
        <f>'Project 1'!G31+'Project 2'!G31+'Project 3'!G31+'Project 4'!G31+'Project 5'!F31</f>
        <v>1.0000019080723632E-09</v>
      </c>
      <c r="N31" s="10">
        <f>L31-M31</f>
        <v>42670955.97228205</v>
      </c>
    </row>
    <row r="32" spans="1:14" ht="12.75">
      <c r="A32" s="21">
        <f>Assumptions!$H32</f>
        <v>2045</v>
      </c>
      <c r="B32" s="26">
        <f>J31</f>
        <v>36420955.97228205</v>
      </c>
      <c r="C32" s="10">
        <f>'Project 1'!M32</f>
        <v>321764.1996846864</v>
      </c>
      <c r="D32" s="10">
        <f>'Project 2'!N32</f>
        <v>510736.8248963276</v>
      </c>
      <c r="E32" s="10">
        <f>'Project 3'!N32</f>
        <v>661790.5084500518</v>
      </c>
      <c r="F32" s="10">
        <f>'Project 4'!N32</f>
        <v>1440632.3993470515</v>
      </c>
      <c r="G32" s="10">
        <f>'Project 5'!M32</f>
        <v>2903769.008510056</v>
      </c>
      <c r="H32" s="10">
        <f>IF(A32-Assumptions!$E$2&lt;0,0,-Assumptions!$E$3*(1+Assumptions!$E$4)^(A32-Assumptions!$E$2))</f>
        <v>-3363749.9746628054</v>
      </c>
      <c r="I32" s="10"/>
      <c r="J32" s="10">
        <f>SUM(B32:H32)</f>
        <v>38895898.93850742</v>
      </c>
      <c r="K32" s="10">
        <f>IF(A32&gt;=Assumptions!$B$12,Assumptions!$B$14,0)+IF(A32&gt;=Assumptions!$C$12,Assumptions!$C$14,0)+IF(A32&gt;=Assumptions!$D$12,Assumptions!$D$14,0)+IF(A32&gt;=Assumptions!$E$12,Assumptions!$E$14,0)+IF(A32&gt;=Assumptions!$F$12,Assumptions!$F$14,0)</f>
        <v>6250000</v>
      </c>
      <c r="L32" s="10">
        <f>J32+K32</f>
        <v>45145898.93850742</v>
      </c>
      <c r="M32" s="10">
        <f>'Project 1'!G32+'Project 2'!G32+'Project 3'!G32+'Project 4'!G32+'Project 5'!F32</f>
        <v>1.0735138068240787E-09</v>
      </c>
      <c r="N32" s="10">
        <f>L32-M32</f>
        <v>45145898.93850742</v>
      </c>
    </row>
    <row r="33" spans="1:14" ht="12.75">
      <c r="A33" s="21">
        <f>Assumptions!$H33</f>
        <v>2046</v>
      </c>
      <c r="B33" s="26">
        <f>J32</f>
        <v>38895898.93850742</v>
      </c>
      <c r="C33" s="10">
        <f>'Project 1'!M33</f>
        <v>337852.40966892074</v>
      </c>
      <c r="D33" s="10">
        <f>'Project 2'!N33</f>
        <v>536273.666141144</v>
      </c>
      <c r="E33" s="10">
        <f>'Project 3'!N33</f>
        <v>694880.0338725545</v>
      </c>
      <c r="F33" s="10">
        <f>'Project 4'!N33</f>
        <v>1512664.019314404</v>
      </c>
      <c r="G33" s="10">
        <f>'Project 5'!M33</f>
        <v>3048957.458935559</v>
      </c>
      <c r="H33" s="10">
        <f>IF(A33-Assumptions!$E$2&lt;0,0,-Assumptions!$E$3*(1+Assumptions!$E$4)^(A33-Assumptions!$E$2))</f>
        <v>-3700124.9721290865</v>
      </c>
      <c r="I33" s="10"/>
      <c r="J33" s="10">
        <f>SUM(B33:H33)</f>
        <v>41326401.55431092</v>
      </c>
      <c r="K33" s="10">
        <f>IF(A33&gt;=Assumptions!$B$12,Assumptions!$B$14,0)+IF(A33&gt;=Assumptions!$C$12,Assumptions!$C$14,0)+IF(A33&gt;=Assumptions!$D$12,Assumptions!$D$14,0)+IF(A33&gt;=Assumptions!$E$12,Assumptions!$E$14,0)+IF(A33&gt;=Assumptions!$F$12,Assumptions!$F$14,0)</f>
        <v>6250000</v>
      </c>
      <c r="L33" s="10">
        <f>J33+K33</f>
        <v>47576401.55431092</v>
      </c>
      <c r="M33" s="10">
        <f>'Project 1'!G33+'Project 2'!G33+'Project 3'!G33+'Project 4'!G33+'Project 5'!F33</f>
        <v>1.1525676428333415E-09</v>
      </c>
      <c r="N33" s="10">
        <f>L33-M33</f>
        <v>47576401.55431092</v>
      </c>
    </row>
    <row r="34" spans="1:14" ht="12.75">
      <c r="A34" s="21">
        <f>Assumptions!$H34</f>
        <v>2047</v>
      </c>
      <c r="B34" s="26">
        <f>J33</f>
        <v>41326401.55431092</v>
      </c>
      <c r="C34" s="10">
        <f>'Project 1'!M34</f>
        <v>354745.0301523668</v>
      </c>
      <c r="D34" s="10">
        <f>'Project 2'!N34</f>
        <v>563087.3494482012</v>
      </c>
      <c r="E34" s="10">
        <f>'Project 3'!N34</f>
        <v>729624.0355661821</v>
      </c>
      <c r="F34" s="10">
        <f>'Project 4'!N34</f>
        <v>1588297.2202801246</v>
      </c>
      <c r="G34" s="10">
        <f>'Project 5'!M34</f>
        <v>3201405.331882337</v>
      </c>
      <c r="H34" s="10">
        <f>IF(A34-Assumptions!$E$2&lt;0,0,-Assumptions!$E$3*(1+Assumptions!$E$4)^(A34-Assumptions!$E$2))</f>
        <v>-4070137.469341995</v>
      </c>
      <c r="I34" s="10"/>
      <c r="J34" s="10">
        <f>SUM(B34:H34)</f>
        <v>43693423.052298136</v>
      </c>
      <c r="K34" s="10">
        <f>IF(A34&gt;=Assumptions!$B$12,Assumptions!$B$14,0)+IF(A34&gt;=Assumptions!$C$12,Assumptions!$C$14,0)+IF(A34&gt;=Assumptions!$D$12,Assumptions!$D$14,0)+IF(A34&gt;=Assumptions!$E$12,Assumptions!$E$14,0)+IF(A34&gt;=Assumptions!$F$12,Assumptions!$F$14,0)</f>
        <v>6250000</v>
      </c>
      <c r="L34" s="10">
        <f>J34+K34</f>
        <v>49943423.052298136</v>
      </c>
      <c r="M34" s="10">
        <f>'Project 1'!G34+'Project 2'!G34+'Project 3'!G34+'Project 4'!G34+'Project 5'!F34</f>
        <v>1.2375819305250023E-09</v>
      </c>
      <c r="N34" s="10">
        <f>L34-M34</f>
        <v>49943423.052298136</v>
      </c>
    </row>
    <row r="35" spans="1:14" ht="12.75">
      <c r="A35" s="21">
        <f>Assumptions!$H35</f>
        <v>2048</v>
      </c>
      <c r="B35" s="26">
        <f>J34</f>
        <v>43693423.052298136</v>
      </c>
      <c r="C35" s="10">
        <f>'Project 1'!M35</f>
        <v>372482.2816599851</v>
      </c>
      <c r="D35" s="10">
        <f>'Project 2'!N35</f>
        <v>591241.7169206114</v>
      </c>
      <c r="E35" s="10">
        <f>'Project 3'!N35</f>
        <v>766105.2373444913</v>
      </c>
      <c r="F35" s="10">
        <f>'Project 4'!N35</f>
        <v>1667712.0812941308</v>
      </c>
      <c r="G35" s="10">
        <f>'Project 5'!M35</f>
        <v>3361475.598476454</v>
      </c>
      <c r="H35" s="10">
        <f>IF(A35-Assumptions!$E$2&lt;0,0,-Assumptions!$E$3*(1+Assumptions!$E$4)^(A35-Assumptions!$E$2))</f>
        <v>-4477151.216276195</v>
      </c>
      <c r="I35" s="10"/>
      <c r="J35" s="10">
        <f>SUM(B35:H35)</f>
        <v>45975288.75171761</v>
      </c>
      <c r="K35" s="10">
        <f>IF(A35&gt;=Assumptions!$B$12,Assumptions!$B$14,0)+IF(A35&gt;=Assumptions!$C$12,Assumptions!$C$14,0)+IF(A35&gt;=Assumptions!$D$12,Assumptions!$D$14,0)+IF(A35&gt;=Assumptions!$E$12,Assumptions!$E$14,0)+IF(A35&gt;=Assumptions!$F$12,Assumptions!$F$14,0)</f>
        <v>6250000</v>
      </c>
      <c r="L35" s="10">
        <f>J35+K35</f>
        <v>52225288.75171761</v>
      </c>
      <c r="M35" s="10">
        <f>'Project 1'!G35+'Project 2'!G35+'Project 3'!G35+'Project 4'!G35+'Project 5'!F35</f>
        <v>1.329006714331278E-09</v>
      </c>
      <c r="N35" s="10">
        <f>L35-M35</f>
        <v>52225288.75171761</v>
      </c>
    </row>
    <row r="36" spans="1:14" ht="12.75">
      <c r="A36" s="21">
        <f>Assumptions!$H36</f>
        <v>2049</v>
      </c>
      <c r="B36" s="26">
        <f>J35</f>
        <v>45975288.75171761</v>
      </c>
      <c r="C36" s="10">
        <f>'Project 1'!M36</f>
        <v>391106.3957429844</v>
      </c>
      <c r="D36" s="10">
        <f>'Project 2'!N36</f>
        <v>620803.8027666421</v>
      </c>
      <c r="E36" s="10">
        <f>'Project 3'!N36</f>
        <v>804410.499211716</v>
      </c>
      <c r="F36" s="10">
        <f>'Project 4'!N36</f>
        <v>1751097.6853588372</v>
      </c>
      <c r="G36" s="10">
        <f>'Project 5'!M36</f>
        <v>3529549.378400277</v>
      </c>
      <c r="H36" s="10">
        <f>IF(A36-Assumptions!$E$2&lt;0,0,-Assumptions!$E$3*(1+Assumptions!$E$4)^(A36-Assumptions!$E$2))</f>
        <v>-4924866.337903815</v>
      </c>
      <c r="I36" s="10"/>
      <c r="J36" s="10">
        <f>SUM(B36:H36)</f>
        <v>48147390.17529425</v>
      </c>
      <c r="K36" s="10">
        <f>IF(A36&gt;=Assumptions!$B$12,Assumptions!$B$14,0)+IF(A36&gt;=Assumptions!$C$12,Assumptions!$C$14,0)+IF(A36&gt;=Assumptions!$D$12,Assumptions!$D$14,0)+IF(A36&gt;=Assumptions!$E$12,Assumptions!$E$14,0)+IF(A36&gt;=Assumptions!$F$12,Assumptions!$F$14,0)</f>
        <v>6250000</v>
      </c>
      <c r="L36" s="10">
        <f>J36+K36</f>
        <v>54397390.17529425</v>
      </c>
      <c r="M36" s="10">
        <f>'Project 1'!G36+'Project 2'!G36+'Project 3'!G36+'Project 4'!G36+'Project 5'!F36</f>
        <v>1.4273259392072394E-09</v>
      </c>
      <c r="N36" s="10">
        <f>L36-M36</f>
        <v>54397390.17529425</v>
      </c>
    </row>
    <row r="37" spans="1:14" ht="12.75">
      <c r="A37" s="21">
        <f>Assumptions!$H37</f>
        <v>2050</v>
      </c>
      <c r="B37" s="26">
        <f>J36</f>
        <v>48147390.17529425</v>
      </c>
      <c r="C37" s="10">
        <f>'Project 1'!M37</f>
        <v>410661.71553013363</v>
      </c>
      <c r="D37" s="10">
        <f>'Project 2'!N37</f>
        <v>651843.9929049741</v>
      </c>
      <c r="E37" s="10">
        <f>'Project 3'!N37</f>
        <v>844631.0241723019</v>
      </c>
      <c r="F37" s="10">
        <f>'Project 4'!N37</f>
        <v>1838652.5696267793</v>
      </c>
      <c r="G37" s="10">
        <f>'Project 5'!M37</f>
        <v>3706026.847320291</v>
      </c>
      <c r="H37" s="10">
        <f>IF(A37-Assumptions!$E$2&lt;0,0,-Assumptions!$E$3*(1+Assumptions!$E$4)^(A37-Assumptions!$E$2))</f>
        <v>-5417352.9716941975</v>
      </c>
      <c r="I37" s="10"/>
      <c r="J37" s="10">
        <f>SUM(B37:H37)</f>
        <v>50181853.35315453</v>
      </c>
      <c r="K37" s="10">
        <f>IF(A37&gt;=Assumptions!$B$12,Assumptions!$B$14,0)+IF(A37&gt;=Assumptions!$C$12,Assumptions!$C$14,0)+IF(A37&gt;=Assumptions!$D$12,Assumptions!$D$14,0)+IF(A37&gt;=Assumptions!$E$12,Assumptions!$E$14,0)+IF(A37&gt;=Assumptions!$F$12,Assumptions!$F$14,0)</f>
        <v>6250000</v>
      </c>
      <c r="L37" s="10">
        <f>J37+K37</f>
        <v>56431853.35315453</v>
      </c>
      <c r="M37" s="10">
        <f>'Project 1'!G37+'Project 2'!G37+'Project 3'!G37+'Project 4'!G37+'Project 5'!F37</f>
        <v>1.5330599991497668E-09</v>
      </c>
      <c r="N37" s="10">
        <f>L37-M37</f>
        <v>56431853.35315453</v>
      </c>
    </row>
  </sheetData>
  <sheetProtection selectLockedCells="1" selectUnlockedCells="1"/>
  <mergeCells count="2">
    <mergeCell ref="C1:G1"/>
    <mergeCell ref="J1:N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Kristofer Freeberg</dc:creator>
  <cp:keywords/>
  <dc:description/>
  <cp:lastModifiedBy>Kristofer Freeberg</cp:lastModifiedBy>
  <dcterms:created xsi:type="dcterms:W3CDTF">2016-01-19T04:08:11Z</dcterms:created>
  <dcterms:modified xsi:type="dcterms:W3CDTF">2016-01-26T15:31:46Z</dcterms:modified>
  <cp:category/>
  <cp:version/>
  <cp:contentType/>
  <cp:contentStatus/>
  <cp:revision>157</cp:revision>
</cp:coreProperties>
</file>